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25"/>
  <workbookPr filterPrivacy="1" codeName="ThisWorkbook" defaultThemeVersion="124226"/>
  <xr:revisionPtr revIDLastSave="0" documentId="8_{FDA826FD-92B7-492E-8199-BCB85E7BBA97}" xr6:coauthVersionLast="34" xr6:coauthVersionMax="34" xr10:uidLastSave="{00000000-0000-0000-0000-000000000000}"/>
  <bookViews>
    <workbookView xWindow="0" yWindow="0" windowWidth="11265" windowHeight="4470" tabRatio="851" xr2:uid="{00000000-000D-0000-FFFF-FFFF00000000}"/>
  </bookViews>
  <sheets>
    <sheet name="Dane" sheetId="9" r:id="rId1"/>
    <sheet name="Nakłady inwestycyjne" sheetId="10" r:id="rId2"/>
    <sheet name="Kalkulacja" sheetId="1" r:id="rId3"/>
    <sheet name="Dane referencyjne" sheetId="11" r:id="rId4"/>
    <sheet name="WACC" sheetId="4" r:id="rId5"/>
  </sheets>
  <definedNames>
    <definedName name="_xlnm.Print_Area" localSheetId="0">Dane!$B$2:$F$54</definedName>
    <definedName name="_xlnm.Print_Area" localSheetId="3">'Dane referencyjne'!$B$2:$E$5</definedName>
    <definedName name="_xlnm.Print_Area" localSheetId="2">Kalkulacja!$B$1:$S$67</definedName>
    <definedName name="_xlnm.Print_Area" localSheetId="1">'Nakłady inwestycyjne'!$B$2:$M$28</definedName>
    <definedName name="_xlnm.Print_Area" localSheetId="4">WACC!$B$2:$D$40</definedName>
  </definedNames>
  <calcPr calcId="162913"/>
  <customWorkbookViews>
    <customWorkbookView name="1" guid="{60DF9BBC-D692-423C-89AD-8A976478AE41}" maximized="1" windowWidth="1596" windowHeight="667" tabRatio="851" activeSheetId="9" showFormulaBar="0"/>
    <customWorkbookView name="2" guid="{C75A5F74-EB46-4EC1-8574-01D849F3C8D4}" includePrintSettings="0" includeHiddenRowCol="0" maximized="1" windowWidth="1596" windowHeight="667" tabRatio="851" activeSheetId="9" showFormulaBar="0"/>
  </customWorkbookViews>
</workbook>
</file>

<file path=xl/calcChain.xml><?xml version="1.0" encoding="utf-8"?>
<calcChain xmlns="http://schemas.openxmlformats.org/spreadsheetml/2006/main">
  <c r="F37" i="9" l="1"/>
  <c r="D5" i="11" l="1"/>
  <c r="D4" i="11"/>
  <c r="E5" i="11"/>
  <c r="E4" i="11"/>
  <c r="H31" i="9" l="1"/>
  <c r="G23" i="1"/>
  <c r="C5" i="1" l="1"/>
  <c r="C3" i="1"/>
  <c r="B5" i="10"/>
  <c r="B3" i="10"/>
  <c r="G19" i="1" l="1"/>
  <c r="G18" i="1"/>
  <c r="G17" i="1"/>
  <c r="G16" i="1" l="1"/>
  <c r="D6" i="4" l="1"/>
  <c r="D11" i="4" s="1"/>
  <c r="D26" i="4"/>
  <c r="D28" i="4" s="1"/>
  <c r="F11" i="1" l="1"/>
  <c r="E46" i="1"/>
  <c r="G13" i="1"/>
  <c r="G40" i="1" s="1"/>
  <c r="G50" i="1" l="1"/>
  <c r="I50" i="1"/>
  <c r="K50" i="1"/>
  <c r="M50" i="1"/>
  <c r="O50" i="1"/>
  <c r="Q50" i="1"/>
  <c r="S50" i="1"/>
  <c r="F50" i="1"/>
  <c r="H50" i="1"/>
  <c r="J50" i="1"/>
  <c r="L50" i="1"/>
  <c r="N50" i="1"/>
  <c r="P50" i="1"/>
  <c r="R50" i="1"/>
  <c r="E50" i="1"/>
  <c r="F44" i="1" l="1"/>
  <c r="G44" i="1" s="1"/>
  <c r="H44" i="1" l="1"/>
  <c r="G46" i="1"/>
  <c r="F46" i="1"/>
  <c r="I44" i="1" l="1"/>
  <c r="H46" i="1"/>
  <c r="F54" i="1" l="1"/>
  <c r="H54" i="1"/>
  <c r="J54" i="1"/>
  <c r="L54" i="1"/>
  <c r="N54" i="1"/>
  <c r="P54" i="1"/>
  <c r="R54" i="1"/>
  <c r="E54" i="1"/>
  <c r="E55" i="1" s="1"/>
  <c r="G54" i="1"/>
  <c r="I54" i="1"/>
  <c r="K54" i="1"/>
  <c r="M54" i="1"/>
  <c r="O54" i="1"/>
  <c r="Q54" i="1"/>
  <c r="S54" i="1"/>
  <c r="J44" i="1"/>
  <c r="I46" i="1"/>
  <c r="K44" i="1" l="1"/>
  <c r="J46" i="1"/>
  <c r="L44" i="1" l="1"/>
  <c r="K46" i="1"/>
  <c r="M44" i="1" l="1"/>
  <c r="L46" i="1"/>
  <c r="N44" i="1" l="1"/>
  <c r="M46" i="1"/>
  <c r="O44" i="1" l="1"/>
  <c r="N46" i="1"/>
  <c r="P44" i="1" l="1"/>
  <c r="O46" i="1"/>
  <c r="Q44" i="1" l="1"/>
  <c r="P46" i="1"/>
  <c r="R44" i="1" l="1"/>
  <c r="Q46" i="1"/>
  <c r="S44" i="1" l="1"/>
  <c r="R46" i="1"/>
  <c r="S46" i="1" l="1"/>
  <c r="G12" i="1" l="1"/>
  <c r="D37" i="4" l="1"/>
  <c r="G27" i="1" l="1"/>
  <c r="E51" i="1" s="1"/>
  <c r="E52" i="1" l="1"/>
  <c r="E57" i="1" s="1"/>
  <c r="D29" i="4" l="1"/>
  <c r="D16" i="4"/>
  <c r="D20" i="4" s="1"/>
  <c r="D32" i="4" l="1"/>
  <c r="D8" i="10" s="1"/>
  <c r="D21" i="4"/>
  <c r="D34" i="4"/>
  <c r="D39" i="4" s="1"/>
  <c r="L12" i="10" l="1"/>
  <c r="L14" i="10"/>
  <c r="D38" i="4"/>
  <c r="F47" i="9" s="1"/>
  <c r="M12" i="10" l="1"/>
  <c r="M13" i="10"/>
  <c r="M14" i="10"/>
  <c r="M15" i="10"/>
  <c r="G24" i="1"/>
  <c r="L22" i="10"/>
  <c r="L18" i="10"/>
  <c r="L16" i="10"/>
  <c r="L26" i="10"/>
  <c r="L20" i="10"/>
  <c r="L24" i="10"/>
  <c r="M24" i="10" l="1"/>
  <c r="M25" i="10"/>
  <c r="M26" i="10"/>
  <c r="M27" i="10"/>
  <c r="M18" i="10"/>
  <c r="M19" i="10"/>
  <c r="M20" i="10"/>
  <c r="M21" i="10"/>
  <c r="M16" i="10"/>
  <c r="M17" i="10"/>
  <c r="M29" i="10" s="1"/>
  <c r="F30" i="9" s="1"/>
  <c r="M22" i="10"/>
  <c r="M23" i="10"/>
  <c r="E47" i="1"/>
  <c r="K47" i="1"/>
  <c r="M47" i="1"/>
  <c r="O47" i="1"/>
  <c r="Q47" i="1"/>
  <c r="F47" i="1"/>
  <c r="S47" i="1"/>
  <c r="I47" i="1"/>
  <c r="J47" i="1"/>
  <c r="R47" i="1"/>
  <c r="L47" i="1"/>
  <c r="N47" i="1"/>
  <c r="P47" i="1"/>
  <c r="G47" i="1"/>
  <c r="H47" i="1"/>
  <c r="M28" i="10" l="1"/>
  <c r="F29" i="9" s="1"/>
  <c r="G22" i="1" s="1"/>
  <c r="E61" i="1"/>
  <c r="E62" i="1"/>
  <c r="N28" i="10" l="1"/>
  <c r="H29" i="9"/>
  <c r="E60" i="1"/>
  <c r="E63" i="1"/>
  <c r="K55" i="1" l="1"/>
  <c r="M55" i="1"/>
  <c r="S55" i="1"/>
  <c r="J55" i="1"/>
  <c r="G55" i="1"/>
  <c r="P55" i="1"/>
  <c r="O55" i="1"/>
  <c r="H55" i="1"/>
  <c r="Q55" i="1"/>
  <c r="F55" i="1"/>
  <c r="N55" i="1"/>
  <c r="L55" i="1"/>
  <c r="I55" i="1"/>
  <c r="R55" i="1"/>
  <c r="O51" i="1" l="1"/>
  <c r="N51" i="1"/>
  <c r="K51" i="1"/>
  <c r="L51" i="1"/>
  <c r="Q51" i="1"/>
  <c r="M51" i="1"/>
  <c r="G51" i="1"/>
  <c r="R51" i="1"/>
  <c r="H51" i="1"/>
  <c r="S51" i="1"/>
  <c r="J51" i="1"/>
  <c r="P51" i="1"/>
  <c r="I51" i="1"/>
  <c r="F51" i="1"/>
  <c r="F52" i="1" l="1"/>
  <c r="F61" i="1" s="1"/>
  <c r="J52" i="1"/>
  <c r="J57" i="1" s="1"/>
  <c r="R52" i="1"/>
  <c r="R61" i="1" s="1"/>
  <c r="G52" i="1"/>
  <c r="G61" i="1" s="1"/>
  <c r="K52" i="1"/>
  <c r="K61" i="1" s="1"/>
  <c r="P52" i="1"/>
  <c r="P61" i="1" s="1"/>
  <c r="Q52" i="1"/>
  <c r="Q61" i="1" s="1"/>
  <c r="O52" i="1"/>
  <c r="O61" i="1" s="1"/>
  <c r="I52" i="1"/>
  <c r="I57" i="1" s="1"/>
  <c r="S52" i="1"/>
  <c r="S61" i="1" s="1"/>
  <c r="H52" i="1"/>
  <c r="H61" i="1" s="1"/>
  <c r="M52" i="1"/>
  <c r="M61" i="1" s="1"/>
  <c r="L52" i="1"/>
  <c r="L61" i="1" s="1"/>
  <c r="N52" i="1"/>
  <c r="N61" i="1" s="1"/>
  <c r="R62" i="1"/>
  <c r="M62" i="1"/>
  <c r="O62" i="1"/>
  <c r="L62" i="1"/>
  <c r="N62" i="1"/>
  <c r="G62" i="1"/>
  <c r="S62" i="1"/>
  <c r="K62" i="1"/>
  <c r="P62" i="1"/>
  <c r="Q57" i="1" l="1"/>
  <c r="F57" i="1"/>
  <c r="P63" i="1"/>
  <c r="S63" i="1"/>
  <c r="I61" i="1"/>
  <c r="J61" i="1"/>
  <c r="G63" i="1"/>
  <c r="L63" i="1"/>
  <c r="K63" i="1"/>
  <c r="N63" i="1"/>
  <c r="O63" i="1"/>
  <c r="H57" i="1"/>
  <c r="M63" i="1"/>
  <c r="R63" i="1"/>
  <c r="R57" i="1"/>
  <c r="Q62" i="1"/>
  <c r="Q63" i="1" s="1"/>
  <c r="N57" i="1"/>
  <c r="M57" i="1"/>
  <c r="L57" i="1"/>
  <c r="O57" i="1"/>
  <c r="I62" i="1"/>
  <c r="H62" i="1"/>
  <c r="H63" i="1" s="1"/>
  <c r="F62" i="1"/>
  <c r="F63" i="1" s="1"/>
  <c r="S57" i="1"/>
  <c r="G57" i="1"/>
  <c r="J62" i="1"/>
  <c r="P57" i="1"/>
  <c r="K57" i="1"/>
  <c r="I63" i="1" l="1"/>
  <c r="J63" i="1"/>
  <c r="G33" i="1"/>
  <c r="G34" i="1"/>
  <c r="E64" i="1" l="1"/>
  <c r="G31" i="1" l="1"/>
  <c r="G36" i="1" s="1"/>
  <c r="G35" i="1" l="1"/>
  <c r="C7" i="1" s="1" a="1"/>
  <c r="C7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F29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Wartość należy wstawić w zakładce "Nakłady inwestycyjne"</t>
        </r>
      </text>
    </comment>
  </commentList>
</comments>
</file>

<file path=xl/sharedStrings.xml><?xml version="1.0" encoding="utf-8"?>
<sst xmlns="http://schemas.openxmlformats.org/spreadsheetml/2006/main" count="286" uniqueCount="212">
  <si>
    <t>[%]</t>
  </si>
  <si>
    <t>WACC</t>
  </si>
  <si>
    <t>Ogólne</t>
  </si>
  <si>
    <t>Otoczenie rynkowe</t>
  </si>
  <si>
    <t>Okres dyskontowania</t>
  </si>
  <si>
    <t>Nakłady inwestycyjne</t>
  </si>
  <si>
    <t>Współczynnik dyskontujący</t>
  </si>
  <si>
    <t>II.</t>
  </si>
  <si>
    <t>III.</t>
  </si>
  <si>
    <t>III.1</t>
  </si>
  <si>
    <t>III.1.1</t>
  </si>
  <si>
    <t>IV.</t>
  </si>
  <si>
    <t>IV.1</t>
  </si>
  <si>
    <t>IV.1.1</t>
  </si>
  <si>
    <t>III.1.2</t>
  </si>
  <si>
    <t>III.1.4</t>
  </si>
  <si>
    <t>III.1.5</t>
  </si>
  <si>
    <t>III.1.6</t>
  </si>
  <si>
    <t>I.</t>
  </si>
  <si>
    <t>I.1</t>
  </si>
  <si>
    <t>I.1.1</t>
  </si>
  <si>
    <t>I.1.2</t>
  </si>
  <si>
    <t>I.1.3</t>
  </si>
  <si>
    <t>I.2.</t>
  </si>
  <si>
    <t>I.2.1</t>
  </si>
  <si>
    <t>I.2.2</t>
  </si>
  <si>
    <t>I.3.</t>
  </si>
  <si>
    <t>I.3.1</t>
  </si>
  <si>
    <t>I.3.2</t>
  </si>
  <si>
    <t>I.3.3</t>
  </si>
  <si>
    <t>I.4</t>
  </si>
  <si>
    <t>I.4.1</t>
  </si>
  <si>
    <t>V.</t>
  </si>
  <si>
    <t>V.1.1</t>
  </si>
  <si>
    <t>Ce = Rf + Be  x Rp  + Rsp</t>
  </si>
  <si>
    <t xml:space="preserve"> WACCr = (1 + WACCn) / (1 + I ) - 1 </t>
  </si>
  <si>
    <t xml:space="preserve"> WACCn (pre-tax)= E/(D+E) x Ce (pre-tax) +D/(D+E) x Cd (pre-tax) </t>
  </si>
  <si>
    <t xml:space="preserve"> WACCn (post-tax) = E/(D+E) x Ce +D/(D+E) x Cd </t>
  </si>
  <si>
    <t xml:space="preserve">Bez wsparcia </t>
  </si>
  <si>
    <t>Kalkulacja kosztu kapitału własnego</t>
  </si>
  <si>
    <t>Beta</t>
  </si>
  <si>
    <t>Beta aktywów (odlewarowana) [Bea]</t>
  </si>
  <si>
    <t>Wskaźnik udziału długu w finansowaniu inwestycji [D/E]</t>
  </si>
  <si>
    <t>Struktura finansowania</t>
  </si>
  <si>
    <t>Udział kapitału własnego [ E/(D+E)]</t>
  </si>
  <si>
    <t>Udział długu [ D/(D+E) ]</t>
  </si>
  <si>
    <t xml:space="preserve">Beta kapitałów własnych (lewarowana) </t>
  </si>
  <si>
    <t>Stopa wolna od ryzyka [ Rf ]</t>
  </si>
  <si>
    <t>Beta kapitałów własnych [Be]</t>
  </si>
  <si>
    <t>Premia za ryzyko rynkowe [ Rp ]</t>
  </si>
  <si>
    <t>Premia za ryzyko specyficzne [ Rsp ]</t>
  </si>
  <si>
    <t>Koszt kapitału własnego [ Ce ]</t>
  </si>
  <si>
    <t>Koszt pozyskania finansowania dłużnego [M]</t>
  </si>
  <si>
    <t>Koszt finansowania dłużnego przed opodatkowaniem [ Cd pre-tax = Rf + M]</t>
  </si>
  <si>
    <t>Koszt finansowania dłużnego po opodatkowaniu</t>
  </si>
  <si>
    <t>WACC nominalny przed opodatkowaniem</t>
  </si>
  <si>
    <t>WACC nominalny po opodatkowaniu</t>
  </si>
  <si>
    <t>Średnia stopa inflacji [ I ]</t>
  </si>
  <si>
    <t>WACC realny przed opodatkowaniem</t>
  </si>
  <si>
    <t>Uwaga</t>
  </si>
  <si>
    <t>Kalkulacja kosztu kapitału obcego</t>
  </si>
  <si>
    <t xml:space="preserve">Koszt kapitału własnego przed opodatkowaniem [Ce pre-tax = Ce * (1 - t)] </t>
  </si>
  <si>
    <t>[ Cd = Cd pre-tax * (1-t) ]</t>
  </si>
  <si>
    <t>Stopa podatkowa [ t ]</t>
  </si>
  <si>
    <t>Numer telefonu:</t>
  </si>
  <si>
    <t>Adres poczty elektronicznej:</t>
  </si>
  <si>
    <t>VI.</t>
  </si>
  <si>
    <t>VI.1</t>
  </si>
  <si>
    <t>VI.1.2</t>
  </si>
  <si>
    <t>VI.3.</t>
  </si>
  <si>
    <t>VI.3.1</t>
  </si>
  <si>
    <t>II.1.1</t>
  </si>
  <si>
    <t>VI.3.2</t>
  </si>
  <si>
    <t>IV.1.2.1</t>
  </si>
  <si>
    <t>Data złożenia wniosku:</t>
  </si>
  <si>
    <t>Dane obecnie wykorzystywane do oceny efektu zachęty</t>
  </si>
  <si>
    <t>Dane</t>
  </si>
  <si>
    <t>WACC realny po opodatkowaniu</t>
  </si>
  <si>
    <t>Średnia stopa inflacji</t>
  </si>
  <si>
    <t>II.1</t>
  </si>
  <si>
    <t>II.1.2</t>
  </si>
  <si>
    <t>II.1.3</t>
  </si>
  <si>
    <t>II.1.4</t>
  </si>
  <si>
    <t>Ocena spełnienia kryteriów do występowania efektu zachęty</t>
  </si>
  <si>
    <t>Wartość NPV bez wsparcia</t>
  </si>
  <si>
    <t>Wartość NPV warunkująca podjęcie inwestycji</t>
  </si>
  <si>
    <t>II.1.5</t>
  </si>
  <si>
    <t>II.1.6</t>
  </si>
  <si>
    <t>Finansowe</t>
  </si>
  <si>
    <t>Ocena spełnienia kryteriów do występowania efektu zachęty (cała jednostka)</t>
  </si>
  <si>
    <t>IV.1.2.2</t>
  </si>
  <si>
    <t>IV.1.2.</t>
  </si>
  <si>
    <t xml:space="preserve">Wartości przepływów zdyskontowane </t>
  </si>
  <si>
    <t xml:space="preserve">Wartości przepływów operacyjnych realne niezdyskontowane </t>
  </si>
  <si>
    <t>Dodatnie przepływy gotówkowe operacyjne</t>
  </si>
  <si>
    <t>Ujemne przepływy gotówkowe operacyjne</t>
  </si>
  <si>
    <t>Dodatnie przepływy gotówkowe operacyjne zdyskontowane</t>
  </si>
  <si>
    <t>Ujemne przepływy gotówkowe operacyjne zdyskontowane</t>
  </si>
  <si>
    <t>Saldo przepływów operacyjnych zdyskontowanych</t>
  </si>
  <si>
    <r>
      <t>Ocena spełnienia kryteriów do występowania efektu zachęty: musi być NPV</t>
    </r>
    <r>
      <rPr>
        <sz val="12"/>
        <color theme="1"/>
        <rFont val="Calibri"/>
        <family val="2"/>
        <charset val="238"/>
      </rPr>
      <t>«</t>
    </r>
    <r>
      <rPr>
        <sz val="10"/>
        <color theme="1"/>
        <rFont val="Arial"/>
        <family val="2"/>
        <charset val="238"/>
      </rPr>
      <t>0</t>
    </r>
  </si>
  <si>
    <t>Saldo przepływów operacyjnych</t>
  </si>
  <si>
    <t>Kalkulacje NPV</t>
  </si>
  <si>
    <t>NPV = suma rocznych sald przepływów operacyjnych zdyskontowanych minus nakłady inwestycyjne zindeksowane na pierwszy rok eksploatacji</t>
  </si>
  <si>
    <t>IV.2</t>
  </si>
  <si>
    <t>IV.3</t>
  </si>
  <si>
    <t>IV.2.1</t>
  </si>
  <si>
    <t>IV.2.2</t>
  </si>
  <si>
    <t>IV.2.3</t>
  </si>
  <si>
    <t>IV.2.4</t>
  </si>
  <si>
    <t>IV.2.5</t>
  </si>
  <si>
    <t>IV.2.6</t>
  </si>
  <si>
    <t>IV.3.1</t>
  </si>
  <si>
    <t>IV.3.2</t>
  </si>
  <si>
    <t>IV.3.3</t>
  </si>
  <si>
    <t>IV.3.4</t>
  </si>
  <si>
    <t>IV.3.5</t>
  </si>
  <si>
    <t>Indeksacja nakładów inwestycyjnych</t>
  </si>
  <si>
    <t>Rok budowy</t>
  </si>
  <si>
    <t>współczynnik indeksacji</t>
  </si>
  <si>
    <t>Stopa dyskonta - WACC</t>
  </si>
  <si>
    <t>Wartości zindeksowane</t>
  </si>
  <si>
    <t>Wymagana kwota wsparcia - ekwiwalent dotacji brutto (EDB)</t>
  </si>
  <si>
    <t xml:space="preserve">Imię i nazwisko: </t>
  </si>
  <si>
    <t>Okres eksploatacji</t>
  </si>
  <si>
    <t>Nakłady nominalne</t>
  </si>
  <si>
    <t xml:space="preserve"> - Arkusz dokona obliczeń po wprowadzeniu danych Inwestycji w arkuszu Dane.</t>
  </si>
  <si>
    <t>Środowiskowe efekty inwestycji</t>
  </si>
  <si>
    <t>Ocena pozytywnych efektów środowiskowych</t>
  </si>
  <si>
    <t>Jednostka wnioskowana</t>
  </si>
  <si>
    <t>VI.1.1</t>
  </si>
  <si>
    <t>VI.1.3</t>
  </si>
  <si>
    <t>Koszty operacyjne</t>
  </si>
  <si>
    <t>Dane dotyczące wnioskodawcy</t>
  </si>
  <si>
    <t>Firma i forma prawna wnioskodawcy</t>
  </si>
  <si>
    <t>Adres siedziby wnioskodawcy</t>
  </si>
  <si>
    <t>Adres (jeśli inny niż adres siedziby wnioskodawcy):</t>
  </si>
  <si>
    <t>Data złożenia Wniosku</t>
  </si>
  <si>
    <t>Przy wypełnianiu należy korzystać z Instrukcja wypełniania Załącznika nr 1 do Formularza</t>
  </si>
  <si>
    <t>Typ instalacji</t>
  </si>
  <si>
    <t xml:space="preserve">Beta kap. wł. = Beta aktywów  x ( 1 + (1-t) x ( D/E )) </t>
  </si>
  <si>
    <t>Instalacja wytwarzająca biogaz rolniczy</t>
  </si>
  <si>
    <t>[lat]</t>
  </si>
  <si>
    <t>[PLN]</t>
  </si>
  <si>
    <t>[PLN/rok]</t>
  </si>
  <si>
    <r>
      <t>[m</t>
    </r>
    <r>
      <rPr>
        <vertAlign val="superscript"/>
        <sz val="10"/>
        <color theme="1"/>
        <rFont val="Arial"/>
        <family val="2"/>
        <charset val="238"/>
      </rPr>
      <t>3</t>
    </r>
    <r>
      <rPr>
        <sz val="10"/>
        <color theme="1"/>
        <rFont val="Arial"/>
        <family val="2"/>
        <charset val="238"/>
      </rPr>
      <t>/rok]</t>
    </r>
  </si>
  <si>
    <t>Cena gazu ziemnego</t>
  </si>
  <si>
    <t>Scenariusz alternatywny</t>
  </si>
  <si>
    <t>Data złożenia wniosku</t>
  </si>
  <si>
    <r>
      <t>[m</t>
    </r>
    <r>
      <rPr>
        <vertAlign val="superscript"/>
        <sz val="10"/>
        <color theme="1"/>
        <rFont val="Arial"/>
        <family val="2"/>
        <charset val="238"/>
      </rPr>
      <t>3</t>
    </r>
    <r>
      <rPr>
        <sz val="10"/>
        <color theme="1"/>
        <rFont val="Arial"/>
        <family val="2"/>
        <charset val="238"/>
      </rPr>
      <t>]</t>
    </r>
  </si>
  <si>
    <r>
      <t>[PLN/m</t>
    </r>
    <r>
      <rPr>
        <vertAlign val="superscript"/>
        <sz val="10"/>
        <color theme="1"/>
        <rFont val="Arial"/>
        <family val="2"/>
        <charset val="238"/>
      </rPr>
      <t>3</t>
    </r>
    <r>
      <rPr>
        <sz val="10"/>
        <color theme="1"/>
        <rFont val="Arial"/>
        <family val="2"/>
        <charset val="238"/>
      </rPr>
      <t>]</t>
    </r>
  </si>
  <si>
    <t>VII.</t>
  </si>
  <si>
    <t>VII.1.</t>
  </si>
  <si>
    <t>VII.1.1</t>
  </si>
  <si>
    <t>VII.2.</t>
  </si>
  <si>
    <t>VII.2.1</t>
  </si>
  <si>
    <t>VII.2.2</t>
  </si>
  <si>
    <t>VII.2.3</t>
  </si>
  <si>
    <t>VII.2.4</t>
  </si>
  <si>
    <t>VII.2.5</t>
  </si>
  <si>
    <t>Procent emisji niezorganizowanej metanu odpowiadającej wielkości zużycia substratu</t>
  </si>
  <si>
    <t>Potencjał tworzenia efektu cieplarnianego dla metanu (GWP)</t>
  </si>
  <si>
    <t>Gęstość metanu</t>
  </si>
  <si>
    <t>[kg/Nm3]</t>
  </si>
  <si>
    <t>gaz ziemny wysokometanowy sieciowy</t>
  </si>
  <si>
    <t>Techniczne i  środowiskowe</t>
  </si>
  <si>
    <t>VII.3.</t>
  </si>
  <si>
    <t>VII.3.1</t>
  </si>
  <si>
    <t>VII.3.2</t>
  </si>
  <si>
    <t>Poprawność wypełnienia formularza:</t>
  </si>
  <si>
    <t>Techniczne i środowiskowe</t>
  </si>
  <si>
    <t>I.2.3</t>
  </si>
  <si>
    <t>I.2.4</t>
  </si>
  <si>
    <t>[Mg]</t>
  </si>
  <si>
    <t>Poziom dolny</t>
  </si>
  <si>
    <t>Poziom górny</t>
  </si>
  <si>
    <t>Lp</t>
  </si>
  <si>
    <t>Kategoria</t>
  </si>
  <si>
    <t>Roczne koszty operacyjne (łącznie z kosztami pozyskania substratu)</t>
  </si>
  <si>
    <t>Roczne koszty operacyjne</t>
  </si>
  <si>
    <t>Dane dotyczące inwestycji</t>
  </si>
  <si>
    <r>
      <t>Jednostkowe nakłady inwestycyjne [mln PLN/mln m</t>
    </r>
    <r>
      <rPr>
        <vertAlign val="superscript"/>
        <sz val="10"/>
        <color theme="1"/>
        <rFont val="Arial"/>
        <family val="2"/>
        <charset val="238"/>
      </rPr>
      <t>3</t>
    </r>
    <r>
      <rPr>
        <sz val="10"/>
        <color theme="1"/>
        <rFont val="Arial"/>
        <family val="2"/>
        <charset val="238"/>
      </rPr>
      <t>/rok]</t>
    </r>
  </si>
  <si>
    <r>
      <t>Jednostkowe roczne koszty operacyjne [mln PLN/mln m</t>
    </r>
    <r>
      <rPr>
        <vertAlign val="superscript"/>
        <sz val="10"/>
        <color theme="1"/>
        <rFont val="Arial"/>
        <family val="2"/>
        <charset val="238"/>
      </rPr>
      <t>3</t>
    </r>
    <r>
      <rPr>
        <sz val="10"/>
        <color theme="1"/>
        <rFont val="Arial"/>
        <family val="2"/>
        <charset val="238"/>
      </rPr>
      <t>/rok]</t>
    </r>
  </si>
  <si>
    <t>Załącznik nr 1 - do formularza „Opis techniczno - ekonomiczny projektowanej inwestycji w zakresie wytwarzania biogazu rolniczego w instalacji odnawialnego źródła energii” - Analiza finansowa dotycząca warunków funkcjonowania infrastruktury objętej wnioskiem o wydanie urzędowego potwierdzenia efektu zachęty</t>
  </si>
  <si>
    <t>Imię, nazwisko i dane kontaktowe osoby uprawnionej do udzielania w imieniu wnioskodawcy informacji w związku z Wnioskiem</t>
  </si>
  <si>
    <t>Nazwa firmy (jeśli inna niż nazwa wnioskodawcy):</t>
  </si>
  <si>
    <t>Roczna wydajność instalacji (przed oczyszczeniem i wzbogaceniem):</t>
  </si>
  <si>
    <t>Zawartość metanu w biogazie przed oczyszczeniem i wzbogaceniem</t>
  </si>
  <si>
    <t>Produkcja biogazu oczyszczonego i wzbogaconego  (biometanu)</t>
  </si>
  <si>
    <t>Przychody ze sprzedaży oczyszczonego i wzbogaconego biogazu (biometanu)</t>
  </si>
  <si>
    <t>Wnioskodawca wypełnia tylko komórki oznaczone żółtym kolorem</t>
  </si>
  <si>
    <t>Suma nakładów inwestycyjnych</t>
  </si>
  <si>
    <t>II kwartał 2018</t>
  </si>
  <si>
    <t>Dane stałe na dany okres, podawane przez Prezesa URE w aktualnie opublikowanym wzorze Formularza BGR</t>
  </si>
  <si>
    <t xml:space="preserve"> - w tym kwota sfinansowana z pomocy publicznej inwestycyjnej</t>
  </si>
  <si>
    <t>w tym suma nakładów stanowiących pomoc publiczną inwestycyjną</t>
  </si>
  <si>
    <t>Nakłady inwestycyjne pomniejszone o wartość udzielonej pomocy publicznej inwestycyjnej</t>
  </si>
  <si>
    <t>Nazwa inwestycji</t>
  </si>
  <si>
    <t>Nazwa inwestycji:</t>
  </si>
  <si>
    <t>VI.3.3</t>
  </si>
  <si>
    <t>Suma nakładów stanowiących pomoc publiczną inwestycyjną</t>
  </si>
  <si>
    <t>Pozycje "Nakłady inwestycyjne" i "Suma nakładów stanowiących pomoc publiczną inwestycyjną" wypełnią się automatycznie po wprowadzeniu danych w poszczególnych latach budowy w arkuszu "Nakłady inwestycyjne"</t>
  </si>
  <si>
    <t>Rok eksploatacji instalacji</t>
  </si>
  <si>
    <t>Wartość nakładów inwestycyjnych</t>
  </si>
  <si>
    <t>Nakłady inwestycyjne zindeksowane na ostatni rok realizacji inwestycji</t>
  </si>
  <si>
    <t>Dodatnie przepływy gotówkowe zdyskontowane - suma z okresu eksploatacji</t>
  </si>
  <si>
    <t>Ujemne przepływy gotówkowe zdyskontowane - suma z okresu eksploatacji i nakłady inwestycyjne</t>
  </si>
  <si>
    <t>Nazwa inwestycji będącej przedmiotem Wniosku</t>
  </si>
  <si>
    <r>
      <t>Roczne obniżenie  emisji CO</t>
    </r>
    <r>
      <rPr>
        <vertAlign val="subscript"/>
        <sz val="10"/>
        <color theme="1"/>
        <rFont val="Arial"/>
        <family val="2"/>
        <charset val="238"/>
      </rPr>
      <t>2</t>
    </r>
  </si>
  <si>
    <t>Inwestycja objęta Wnioskiem - bez wsparcia</t>
  </si>
  <si>
    <t>Standardy ekonomiczne*</t>
  </si>
  <si>
    <t xml:space="preserve">* zastosowany przy określaniu danych referencyjnych przelicznik mocy do wydajności instalacji służy wyłącznie celom określenia standardów ekonomicznych w ramach procedury potwierdzania efektu zachęty i nie może być stosowany w ramach innych postępowań. </t>
  </si>
  <si>
    <t>III kwartał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</si>
</sst>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\ _z_ł_-;\-* #,##0.00\ _z_ł_-;_-* &quot;-&quot;??\ _z_ł_-;_-@_-"/>
    <numFmt numFmtId="164" formatCode="_(* #,##0.00_);_(* \(#,##0.00\);_(* &quot;-&quot;??_);_(@_)"/>
    <numFmt numFmtId="165" formatCode="#,##0.000"/>
    <numFmt numFmtId="166" formatCode="0.0%"/>
    <numFmt numFmtId="167" formatCode="#,##0.0"/>
    <numFmt numFmtId="168" formatCode="0.0"/>
    <numFmt numFmtId="169" formatCode="[$-F800]dddd\,\ mmmm\ dd\,\ yyyy"/>
    <numFmt numFmtId="170" formatCode="0.000"/>
  </numFmts>
  <fonts count="62" x14ac:knownFonts="1"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Times New Roman"/>
      <family val="1"/>
    </font>
    <font>
      <sz val="10"/>
      <name val="Arial CE"/>
    </font>
    <font>
      <b/>
      <sz val="9"/>
      <color indexed="9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i/>
      <sz val="9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Arial CE"/>
      <charset val="238"/>
    </font>
    <font>
      <sz val="10"/>
      <color indexed="8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62"/>
      <name val="Arial"/>
      <family val="2"/>
      <charset val="238"/>
    </font>
    <font>
      <b/>
      <sz val="10"/>
      <color indexed="63"/>
      <name val="Arial"/>
      <family val="2"/>
      <charset val="238"/>
    </font>
    <font>
      <sz val="10"/>
      <color indexed="17"/>
      <name val="Arial"/>
      <family val="2"/>
      <charset val="238"/>
    </font>
    <font>
      <sz val="10"/>
      <color indexed="52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5"/>
      <color indexed="56"/>
      <name val="Arial"/>
      <family val="2"/>
      <charset val="238"/>
    </font>
    <font>
      <b/>
      <sz val="13"/>
      <color indexed="56"/>
      <name val="Arial"/>
      <family val="2"/>
      <charset val="238"/>
    </font>
    <font>
      <b/>
      <sz val="11"/>
      <color indexed="56"/>
      <name val="Arial"/>
      <family val="2"/>
      <charset val="238"/>
    </font>
    <font>
      <sz val="10"/>
      <color indexed="60"/>
      <name val="Arial"/>
      <family val="2"/>
      <charset val="238"/>
    </font>
    <font>
      <b/>
      <sz val="10"/>
      <color indexed="52"/>
      <name val="Arial"/>
      <family val="2"/>
      <charset val="238"/>
    </font>
    <font>
      <b/>
      <sz val="10"/>
      <color indexed="8"/>
      <name val="Arial"/>
      <family val="2"/>
      <charset val="238"/>
    </font>
    <font>
      <i/>
      <sz val="10"/>
      <color indexed="23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color indexed="20"/>
      <name val="Arial"/>
      <family val="2"/>
      <charset val="238"/>
    </font>
    <font>
      <b/>
      <sz val="11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2"/>
      <color theme="1"/>
      <name val="Calibri"/>
      <family val="2"/>
      <charset val="238"/>
    </font>
    <font>
      <sz val="10"/>
      <color rgb="FFFF0000"/>
      <name val="Arial"/>
      <family val="2"/>
      <charset val="238"/>
    </font>
    <font>
      <vertAlign val="subscript"/>
      <sz val="10"/>
      <color theme="1"/>
      <name val="Arial"/>
      <family val="2"/>
      <charset val="238"/>
    </font>
    <font>
      <sz val="9"/>
      <color rgb="FFFF0000"/>
      <name val="Arial"/>
      <family val="2"/>
      <charset val="238"/>
    </font>
    <font>
      <u/>
      <sz val="10"/>
      <color theme="1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b/>
      <sz val="9"/>
      <color indexed="81"/>
      <name val="Tahoma"/>
      <family val="2"/>
      <charset val="238"/>
    </font>
    <font>
      <b/>
      <u/>
      <sz val="10"/>
      <color theme="1"/>
      <name val="Arial"/>
      <family val="2"/>
      <charset val="238"/>
    </font>
    <font>
      <b/>
      <sz val="8"/>
      <color rgb="FFFF0000"/>
      <name val="Arial"/>
      <family val="2"/>
      <charset val="238"/>
    </font>
  </fonts>
  <fills count="5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41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2"/>
      </patternFill>
    </fill>
    <fill>
      <patternFill patternType="solid">
        <fgColor indexed="47"/>
        <bgColor indexed="41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  <bgColor indexed="41"/>
      </patternFill>
    </fill>
    <fill>
      <patternFill patternType="solid">
        <fgColor indexed="55"/>
        <bgColor indexed="2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  <bgColor indexed="26"/>
      </patternFill>
    </fill>
    <fill>
      <patternFill patternType="solid">
        <fgColor indexed="43"/>
      </patternFill>
    </fill>
    <fill>
      <patternFill patternType="solid">
        <fgColor indexed="26"/>
        <bgColor indexed="9"/>
      </patternFill>
    </fill>
    <fill>
      <patternFill patternType="solid">
        <fgColor indexed="26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</fills>
  <borders count="4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2">
    <xf numFmtId="0" fontId="0" fillId="0" borderId="0"/>
    <xf numFmtId="9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38" fontId="10" fillId="0" borderId="0" applyFill="0">
      <protection locked="0"/>
    </xf>
    <xf numFmtId="0" fontId="11" fillId="0" borderId="0"/>
    <xf numFmtId="0" fontId="7" fillId="0" borderId="0"/>
    <xf numFmtId="9" fontId="7" fillId="0" borderId="0" applyFont="0" applyFill="0" applyBorder="0" applyAlignment="0" applyProtection="0"/>
    <xf numFmtId="0" fontId="16" fillId="0" borderId="0"/>
    <xf numFmtId="0" fontId="34" fillId="0" borderId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2" borderId="0" applyNumberFormat="0" applyBorder="0" applyAlignment="0" applyProtection="0"/>
    <xf numFmtId="0" fontId="35" fillId="13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7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35" fillId="20" borderId="0" applyNumberFormat="0" applyBorder="0" applyAlignment="0" applyProtection="0"/>
    <xf numFmtId="0" fontId="35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13" borderId="0" applyNumberFormat="0" applyBorder="0" applyAlignment="0" applyProtection="0"/>
    <xf numFmtId="0" fontId="35" fillId="20" borderId="0" applyNumberFormat="0" applyBorder="0" applyAlignment="0" applyProtection="0"/>
    <xf numFmtId="0" fontId="35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1" borderId="0" applyNumberFormat="0" applyBorder="0" applyAlignment="0" applyProtection="0"/>
    <xf numFmtId="0" fontId="36" fillId="22" borderId="0" applyNumberFormat="0" applyBorder="0" applyAlignment="0" applyProtection="0"/>
    <xf numFmtId="0" fontId="36" fillId="29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35" borderId="0" applyNumberFormat="0" applyBorder="0" applyAlignment="0" applyProtection="0"/>
    <xf numFmtId="0" fontId="36" fillId="36" borderId="0" applyNumberFormat="0" applyBorder="0" applyAlignment="0" applyProtection="0"/>
    <xf numFmtId="0" fontId="36" fillId="37" borderId="0" applyNumberFormat="0" applyBorder="0" applyAlignment="0" applyProtection="0"/>
    <xf numFmtId="0" fontId="36" fillId="38" borderId="0" applyNumberFormat="0" applyBorder="0" applyAlignment="0" applyProtection="0"/>
    <xf numFmtId="0" fontId="36" fillId="29" borderId="0" applyNumberFormat="0" applyBorder="0" applyAlignment="0" applyProtection="0"/>
    <xf numFmtId="0" fontId="36" fillId="30" borderId="0" applyNumberFormat="0" applyBorder="0" applyAlignment="0" applyProtection="0"/>
    <xf numFmtId="0" fontId="36" fillId="39" borderId="0" applyNumberFormat="0" applyBorder="0" applyAlignment="0" applyProtection="0"/>
    <xf numFmtId="0" fontId="19" fillId="5" borderId="0" applyNumberFormat="0" applyBorder="0" applyAlignment="0" applyProtection="0"/>
    <xf numFmtId="0" fontId="20" fillId="40" borderId="6" applyNumberFormat="0" applyAlignment="0" applyProtection="0"/>
    <xf numFmtId="0" fontId="21" fillId="41" borderId="7" applyNumberFormat="0" applyAlignment="0" applyProtection="0"/>
    <xf numFmtId="0" fontId="37" fillId="15" borderId="6" applyNumberFormat="0" applyAlignment="0" applyProtection="0"/>
    <xf numFmtId="0" fontId="38" fillId="42" borderId="8" applyNumberFormat="0" applyAlignment="0" applyProtection="0"/>
    <xf numFmtId="0" fontId="39" fillId="12" borderId="0" applyNumberFormat="0" applyBorder="0" applyAlignment="0" applyProtection="0"/>
    <xf numFmtId="0" fontId="22" fillId="0" borderId="0" applyNumberFormat="0" applyFill="0" applyBorder="0" applyAlignment="0" applyProtection="0"/>
    <xf numFmtId="0" fontId="23" fillId="6" borderId="0" applyNumberFormat="0" applyBorder="0" applyAlignment="0" applyProtection="0"/>
    <xf numFmtId="0" fontId="24" fillId="0" borderId="9" applyNumberFormat="0" applyFill="0" applyAlignment="0" applyProtection="0"/>
    <xf numFmtId="0" fontId="25" fillId="0" borderId="10" applyNumberFormat="0" applyFill="0" applyAlignment="0" applyProtection="0"/>
    <xf numFmtId="0" fontId="26" fillId="0" borderId="11" applyNumberFormat="0" applyFill="0" applyAlignment="0" applyProtection="0"/>
    <xf numFmtId="0" fontId="26" fillId="0" borderId="0" applyNumberFormat="0" applyFill="0" applyBorder="0" applyAlignment="0" applyProtection="0"/>
    <xf numFmtId="0" fontId="27" fillId="9" borderId="6" applyNumberFormat="0" applyAlignment="0" applyProtection="0"/>
    <xf numFmtId="0" fontId="40" fillId="0" borderId="12" applyNumberFormat="0" applyFill="0" applyAlignment="0" applyProtection="0"/>
    <xf numFmtId="0" fontId="41" fillId="43" borderId="7" applyNumberFormat="0" applyAlignment="0" applyProtection="0"/>
    <xf numFmtId="0" fontId="28" fillId="0" borderId="12" applyNumberFormat="0" applyFill="0" applyAlignment="0" applyProtection="0"/>
    <xf numFmtId="0" fontId="42" fillId="0" borderId="9" applyNumberFormat="0" applyFill="0" applyAlignment="0" applyProtection="0"/>
    <xf numFmtId="0" fontId="43" fillId="0" borderId="10" applyNumberFormat="0" applyFill="0" applyAlignment="0" applyProtection="0"/>
    <xf numFmtId="0" fontId="44" fillId="0" borderId="11" applyNumberFormat="0" applyFill="0" applyAlignment="0" applyProtection="0"/>
    <xf numFmtId="0" fontId="44" fillId="0" borderId="0" applyNumberFormat="0" applyFill="0" applyBorder="0" applyAlignment="0" applyProtection="0"/>
    <xf numFmtId="0" fontId="29" fillId="44" borderId="0" applyNumberFormat="0" applyBorder="0" applyAlignment="0" applyProtection="0"/>
    <xf numFmtId="0" fontId="45" fillId="45" borderId="0" applyNumberFormat="0" applyBorder="0" applyAlignment="0" applyProtection="0"/>
    <xf numFmtId="0" fontId="16" fillId="46" borderId="13" applyNumberFormat="0" applyAlignment="0" applyProtection="0"/>
    <xf numFmtId="0" fontId="46" fillId="42" borderId="6" applyNumberFormat="0" applyAlignment="0" applyProtection="0"/>
    <xf numFmtId="0" fontId="30" fillId="40" borderId="8" applyNumberFormat="0" applyAlignment="0" applyProtection="0"/>
    <xf numFmtId="9" fontId="16" fillId="0" borderId="0" applyFill="0" applyBorder="0" applyAlignment="0" applyProtection="0"/>
    <xf numFmtId="0" fontId="47" fillId="0" borderId="14" applyNumberFormat="0" applyFill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14" applyNumberFormat="0" applyFill="0" applyAlignment="0" applyProtection="0"/>
    <xf numFmtId="0" fontId="31" fillId="0" borderId="0" applyNumberFormat="0" applyFill="0" applyBorder="0" applyAlignment="0" applyProtection="0"/>
    <xf numFmtId="0" fontId="16" fillId="47" borderId="13" applyNumberFormat="0" applyFont="0" applyAlignment="0" applyProtection="0"/>
    <xf numFmtId="0" fontId="33" fillId="0" borderId="0" applyNumberFormat="0" applyFill="0" applyBorder="0" applyAlignment="0" applyProtection="0"/>
    <xf numFmtId="0" fontId="50" fillId="11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27" fillId="9" borderId="21" applyNumberFormat="0" applyAlignment="0" applyProtection="0"/>
    <xf numFmtId="0" fontId="38" fillId="42" borderId="22" applyNumberFormat="0" applyAlignment="0" applyProtection="0"/>
    <xf numFmtId="0" fontId="37" fillId="15" borderId="21" applyNumberFormat="0" applyAlignment="0" applyProtection="0"/>
    <xf numFmtId="0" fontId="20" fillId="40" borderId="21" applyNumberFormat="0" applyAlignment="0" applyProtection="0"/>
    <xf numFmtId="0" fontId="20" fillId="40" borderId="17" applyNumberFormat="0" applyAlignment="0" applyProtection="0"/>
    <xf numFmtId="0" fontId="37" fillId="15" borderId="17" applyNumberFormat="0" applyAlignment="0" applyProtection="0"/>
    <xf numFmtId="0" fontId="38" fillId="42" borderId="18" applyNumberFormat="0" applyAlignment="0" applyProtection="0"/>
    <xf numFmtId="0" fontId="27" fillId="9" borderId="17" applyNumberFormat="0" applyAlignment="0" applyProtection="0"/>
    <xf numFmtId="0" fontId="16" fillId="46" borderId="19" applyNumberFormat="0" applyAlignment="0" applyProtection="0"/>
    <xf numFmtId="0" fontId="46" fillId="42" borderId="17" applyNumberFormat="0" applyAlignment="0" applyProtection="0"/>
    <xf numFmtId="0" fontId="30" fillId="40" borderId="18" applyNumberFormat="0" applyAlignment="0" applyProtection="0"/>
    <xf numFmtId="0" fontId="47" fillId="0" borderId="20" applyNumberFormat="0" applyFill="0" applyAlignment="0" applyProtection="0"/>
    <xf numFmtId="0" fontId="32" fillId="0" borderId="20" applyNumberFormat="0" applyFill="0" applyAlignment="0" applyProtection="0"/>
    <xf numFmtId="0" fontId="16" fillId="47" borderId="19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16" fillId="46" borderId="23" applyNumberFormat="0" applyAlignment="0" applyProtection="0"/>
    <xf numFmtId="0" fontId="46" fillId="42" borderId="21" applyNumberFormat="0" applyAlignment="0" applyProtection="0"/>
    <xf numFmtId="0" fontId="30" fillId="40" borderId="22" applyNumberFormat="0" applyAlignment="0" applyProtection="0"/>
    <xf numFmtId="0" fontId="47" fillId="0" borderId="24" applyNumberFormat="0" applyFill="0" applyAlignment="0" applyProtection="0"/>
    <xf numFmtId="0" fontId="32" fillId="0" borderId="24" applyNumberFormat="0" applyFill="0" applyAlignment="0" applyProtection="0"/>
    <xf numFmtId="0" fontId="16" fillId="47" borderId="23" applyNumberFormat="0" applyFont="0" applyAlignment="0" applyProtection="0"/>
    <xf numFmtId="0" fontId="2" fillId="0" borderId="0"/>
    <xf numFmtId="9" fontId="2" fillId="0" borderId="0" applyFont="0" applyFill="0" applyBorder="0" applyAlignment="0" applyProtection="0"/>
    <xf numFmtId="0" fontId="20" fillId="40" borderId="25" applyNumberFormat="0" applyAlignment="0" applyProtection="0"/>
    <xf numFmtId="0" fontId="37" fillId="15" borderId="25" applyNumberFormat="0" applyAlignment="0" applyProtection="0"/>
    <xf numFmtId="0" fontId="38" fillId="42" borderId="26" applyNumberFormat="0" applyAlignment="0" applyProtection="0"/>
    <xf numFmtId="0" fontId="27" fillId="9" borderId="25" applyNumberFormat="0" applyAlignment="0" applyProtection="0"/>
    <xf numFmtId="0" fontId="16" fillId="46" borderId="27" applyNumberFormat="0" applyAlignment="0" applyProtection="0"/>
    <xf numFmtId="0" fontId="46" fillId="42" borderId="25" applyNumberFormat="0" applyAlignment="0" applyProtection="0"/>
    <xf numFmtId="0" fontId="30" fillId="40" borderId="26" applyNumberFormat="0" applyAlignment="0" applyProtection="0"/>
    <xf numFmtId="0" fontId="47" fillId="0" borderId="28" applyNumberFormat="0" applyFill="0" applyAlignment="0" applyProtection="0"/>
    <xf numFmtId="0" fontId="32" fillId="0" borderId="28" applyNumberFormat="0" applyFill="0" applyAlignment="0" applyProtection="0"/>
    <xf numFmtId="0" fontId="16" fillId="47" borderId="27" applyNumberFormat="0" applyFont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57" fillId="0" borderId="0" applyNumberFormat="0" applyFill="0" applyBorder="0" applyAlignment="0" applyProtection="0"/>
  </cellStyleXfs>
  <cellXfs count="221">
    <xf numFmtId="0" fontId="0" fillId="0" borderId="0" xfId="0"/>
    <xf numFmtId="0" fontId="0" fillId="0" borderId="0" xfId="0" applyAlignment="1">
      <alignment horizontal="left" indent="1"/>
    </xf>
    <xf numFmtId="0" fontId="0" fillId="0" borderId="0" xfId="0" applyBorder="1" applyAlignment="1">
      <alignment horizontal="left" indent="3"/>
    </xf>
    <xf numFmtId="0" fontId="9" fillId="0" borderId="0" xfId="0" applyFont="1" applyBorder="1" applyAlignment="1">
      <alignment horizontal="right"/>
    </xf>
    <xf numFmtId="0" fontId="0" fillId="2" borderId="0" xfId="0" applyFill="1" applyBorder="1"/>
    <xf numFmtId="0" fontId="9" fillId="0" borderId="0" xfId="0" applyFont="1" applyBorder="1"/>
    <xf numFmtId="10" fontId="0" fillId="0" borderId="0" xfId="0" applyNumberFormat="1" applyFill="1" applyBorder="1"/>
    <xf numFmtId="0" fontId="8" fillId="0" borderId="0" xfId="5" applyFont="1" applyAlignment="1" applyProtection="1">
      <alignment horizontal="left" vertical="center"/>
    </xf>
    <xf numFmtId="0" fontId="8" fillId="0" borderId="0" xfId="5" applyFont="1" applyAlignment="1" applyProtection="1">
      <alignment vertical="center"/>
    </xf>
    <xf numFmtId="0" fontId="8" fillId="0" borderId="0" xfId="5" applyFont="1" applyAlignment="1" applyProtection="1">
      <alignment horizontal="center" vertical="center"/>
    </xf>
    <xf numFmtId="0" fontId="7" fillId="0" borderId="0" xfId="5" applyProtection="1"/>
    <xf numFmtId="0" fontId="0" fillId="0" borderId="0" xfId="0" applyAlignment="1" applyProtection="1">
      <alignment vertical="center"/>
    </xf>
    <xf numFmtId="0" fontId="0" fillId="0" borderId="0" xfId="0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0" fillId="49" borderId="0" xfId="0" applyFont="1" applyFill="1" applyBorder="1" applyAlignment="1">
      <alignment horizontal="left" vertical="top" inden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0" fillId="0" borderId="0" xfId="0" applyFill="1" applyBorder="1" applyAlignment="1">
      <alignment horizontal="left" vertical="top" indent="1"/>
    </xf>
    <xf numFmtId="0" fontId="0" fillId="0" borderId="0" xfId="0" applyAlignment="1">
      <alignment horizontal="center"/>
    </xf>
    <xf numFmtId="0" fontId="54" fillId="0" borderId="0" xfId="0" applyFont="1" applyProtection="1"/>
    <xf numFmtId="0" fontId="0" fillId="0" borderId="0" xfId="0" applyFill="1" applyProtection="1"/>
    <xf numFmtId="0" fontId="0" fillId="0" borderId="0" xfId="0" applyFill="1" applyBorder="1"/>
    <xf numFmtId="0" fontId="0" fillId="0" borderId="0" xfId="0" applyFill="1"/>
    <xf numFmtId="3" fontId="0" fillId="0" borderId="0" xfId="0" applyNumberFormat="1" applyFont="1" applyFill="1" applyBorder="1"/>
    <xf numFmtId="0" fontId="0" fillId="0" borderId="0" xfId="0" applyFont="1" applyBorder="1" applyAlignment="1">
      <alignment horizontal="left" vertical="top" indent="1"/>
    </xf>
    <xf numFmtId="0" fontId="9" fillId="0" borderId="0" xfId="0" applyFont="1" applyFill="1" applyBorder="1"/>
    <xf numFmtId="0" fontId="0" fillId="0" borderId="0" xfId="0" applyFont="1" applyFill="1" applyBorder="1"/>
    <xf numFmtId="0" fontId="9" fillId="2" borderId="0" xfId="0" applyFont="1" applyFill="1" applyBorder="1"/>
    <xf numFmtId="3" fontId="0" fillId="0" borderId="0" xfId="0" applyNumberFormat="1" applyBorder="1"/>
    <xf numFmtId="4" fontId="9" fillId="0" borderId="0" xfId="0" applyNumberFormat="1" applyFont="1" applyBorder="1"/>
    <xf numFmtId="4" fontId="0" fillId="0" borderId="0" xfId="0" applyNumberFormat="1" applyFill="1" applyBorder="1"/>
    <xf numFmtId="168" fontId="0" fillId="0" borderId="0" xfId="0" applyNumberFormat="1" applyFill="1"/>
    <xf numFmtId="0" fontId="0" fillId="0" borderId="0" xfId="0" applyBorder="1" applyAlignment="1">
      <alignment horizontal="left" vertical="top" indent="1"/>
    </xf>
    <xf numFmtId="0" fontId="9" fillId="2" borderId="0" xfId="0" applyFont="1" applyFill="1" applyBorder="1" applyAlignment="1">
      <alignment horizontal="left" vertical="top" indent="1"/>
    </xf>
    <xf numFmtId="0" fontId="9" fillId="0" borderId="0" xfId="0" applyFont="1" applyBorder="1" applyAlignment="1">
      <alignment horizontal="left" vertical="top" indent="1"/>
    </xf>
    <xf numFmtId="0" fontId="9" fillId="2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Border="1" applyAlignment="1" applyProtection="1">
      <alignment horizontal="left" indent="1"/>
    </xf>
    <xf numFmtId="0" fontId="0" fillId="0" borderId="0" xfId="0" applyAlignment="1" applyProtection="1">
      <alignment horizontal="center"/>
    </xf>
    <xf numFmtId="0" fontId="0" fillId="0" borderId="0" xfId="0" applyProtection="1"/>
    <xf numFmtId="0" fontId="0" fillId="0" borderId="0" xfId="0" applyBorder="1" applyProtection="1"/>
    <xf numFmtId="0" fontId="0" fillId="0" borderId="0" xfId="0" applyFont="1" applyFill="1" applyBorder="1" applyAlignment="1" applyProtection="1">
      <alignment horizontal="center"/>
    </xf>
    <xf numFmtId="0" fontId="0" fillId="0" borderId="0" xfId="0" applyBorder="1"/>
    <xf numFmtId="0" fontId="0" fillId="0" borderId="0" xfId="0" applyBorder="1" applyAlignment="1">
      <alignment horizontal="left" indent="1"/>
    </xf>
    <xf numFmtId="4" fontId="0" fillId="0" borderId="0" xfId="0" applyNumberFormat="1" applyBorder="1"/>
    <xf numFmtId="3" fontId="0" fillId="0" borderId="0" xfId="0" applyNumberFormat="1" applyFill="1" applyBorder="1"/>
    <xf numFmtId="0" fontId="0" fillId="0" borderId="0" xfId="191" applyFont="1" applyAlignment="1" applyProtection="1">
      <alignment vertical="center"/>
    </xf>
    <xf numFmtId="0" fontId="8" fillId="0" borderId="0" xfId="191" applyFont="1" applyAlignment="1" applyProtection="1">
      <alignment vertical="center"/>
    </xf>
    <xf numFmtId="0" fontId="8" fillId="0" borderId="0" xfId="191" applyFont="1" applyAlignment="1" applyProtection="1">
      <alignment horizontal="center" vertical="center"/>
    </xf>
    <xf numFmtId="0" fontId="0" fillId="0" borderId="0" xfId="191" applyFont="1" applyAlignment="1" applyProtection="1">
      <alignment horizontal="left" vertical="center"/>
    </xf>
    <xf numFmtId="0" fontId="0" fillId="0" borderId="0" xfId="0"/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center" vertical="center"/>
    </xf>
    <xf numFmtId="0" fontId="12" fillId="0" borderId="0" xfId="0" applyFont="1" applyFill="1" applyBorder="1" applyAlignment="1" applyProtection="1">
      <alignment vertical="center"/>
    </xf>
    <xf numFmtId="15" fontId="13" fillId="0" borderId="0" xfId="3" applyNumberFormat="1" applyFont="1" applyFill="1" applyBorder="1" applyAlignment="1" applyProtection="1">
      <alignment horizontal="center"/>
    </xf>
    <xf numFmtId="166" fontId="14" fillId="0" borderId="0" xfId="1" applyNumberFormat="1" applyFont="1" applyFill="1" applyBorder="1" applyAlignment="1" applyProtection="1">
      <alignment horizontal="right" vertical="top" wrapText="1"/>
    </xf>
    <xf numFmtId="0" fontId="13" fillId="0" borderId="0" xfId="0" applyFont="1" applyFill="1" applyBorder="1" applyAlignment="1" applyProtection="1">
      <alignment vertical="center"/>
    </xf>
    <xf numFmtId="0" fontId="14" fillId="0" borderId="0" xfId="4" applyFont="1" applyFill="1" applyBorder="1" applyProtection="1"/>
    <xf numFmtId="167" fontId="13" fillId="0" borderId="0" xfId="4" applyNumberFormat="1" applyFont="1" applyFill="1" applyBorder="1" applyAlignment="1" applyProtection="1">
      <alignment horizontal="right" vertical="top" wrapText="1"/>
    </xf>
    <xf numFmtId="0" fontId="14" fillId="0" borderId="0" xfId="0" applyFont="1" applyFill="1" applyBorder="1" applyAlignment="1" applyProtection="1">
      <alignment vertical="center"/>
    </xf>
    <xf numFmtId="164" fontId="14" fillId="48" borderId="0" xfId="1" applyNumberFormat="1" applyFont="1" applyFill="1" applyBorder="1" applyAlignment="1" applyProtection="1">
      <alignment horizontal="left" vertical="center"/>
    </xf>
    <xf numFmtId="10" fontId="14" fillId="0" borderId="0" xfId="1" applyNumberFormat="1" applyFont="1" applyFill="1" applyBorder="1" applyAlignment="1" applyProtection="1">
      <alignment horizontal="right" vertical="center"/>
    </xf>
    <xf numFmtId="0" fontId="14" fillId="0" borderId="0" xfId="0" applyFont="1" applyFill="1" applyBorder="1" applyAlignment="1" applyProtection="1">
      <alignment horizontal="left" vertical="center" indent="2"/>
    </xf>
    <xf numFmtId="10" fontId="14" fillId="48" borderId="0" xfId="1" applyNumberFormat="1" applyFont="1" applyFill="1" applyBorder="1" applyAlignment="1" applyProtection="1">
      <alignment horizontal="right" vertical="center"/>
    </xf>
    <xf numFmtId="40" fontId="13" fillId="0" borderId="0" xfId="3" applyNumberFormat="1" applyFont="1" applyFill="1" applyBorder="1" applyAlignment="1" applyProtection="1">
      <alignment horizontal="center"/>
    </xf>
    <xf numFmtId="0" fontId="15" fillId="0" borderId="0" xfId="0" applyFont="1" applyFill="1" applyBorder="1" applyAlignment="1" applyProtection="1">
      <alignment vertical="center"/>
    </xf>
    <xf numFmtId="167" fontId="14" fillId="0" borderId="0" xfId="4" applyNumberFormat="1" applyFont="1" applyFill="1" applyBorder="1" applyAlignment="1" applyProtection="1">
      <alignment horizontal="right" vertical="top" wrapText="1"/>
    </xf>
    <xf numFmtId="164" fontId="14" fillId="0" borderId="0" xfId="2" applyFont="1" applyFill="1" applyBorder="1" applyAlignment="1" applyProtection="1">
      <alignment horizontal="right" vertical="center"/>
    </xf>
    <xf numFmtId="40" fontId="14" fillId="0" borderId="0" xfId="3" applyNumberFormat="1" applyFont="1" applyFill="1" applyBorder="1" applyAlignment="1" applyProtection="1">
      <alignment horizontal="center"/>
    </xf>
    <xf numFmtId="10" fontId="13" fillId="0" borderId="0" xfId="1" applyNumberFormat="1" applyFont="1" applyFill="1" applyBorder="1" applyAlignment="1" applyProtection="1">
      <alignment horizontal="right" vertical="center"/>
    </xf>
    <xf numFmtId="0" fontId="13" fillId="0" borderId="0" xfId="4" applyFont="1" applyFill="1" applyBorder="1" applyProtection="1"/>
    <xf numFmtId="0" fontId="15" fillId="0" borderId="0" xfId="0" applyFont="1" applyFill="1" applyBorder="1" applyAlignment="1" applyProtection="1">
      <alignment horizontal="right" vertical="center"/>
    </xf>
    <xf numFmtId="15" fontId="13" fillId="0" borderId="0" xfId="3" applyNumberFormat="1" applyFont="1" applyFill="1" applyBorder="1" applyAlignment="1" applyProtection="1">
      <alignment horizontal="right"/>
    </xf>
    <xf numFmtId="10" fontId="13" fillId="0" borderId="0" xfId="1" applyNumberFormat="1" applyFont="1" applyFill="1" applyBorder="1" applyAlignment="1" applyProtection="1">
      <alignment horizontal="right"/>
    </xf>
    <xf numFmtId="166" fontId="13" fillId="3" borderId="0" xfId="1" applyNumberFormat="1" applyFont="1" applyFill="1" applyBorder="1" applyAlignment="1" applyProtection="1">
      <alignment vertical="top" wrapText="1"/>
    </xf>
    <xf numFmtId="166" fontId="13" fillId="3" borderId="0" xfId="1" applyNumberFormat="1" applyFont="1" applyFill="1" applyBorder="1" applyAlignment="1" applyProtection="1">
      <alignment horizontal="right" vertical="top" wrapText="1"/>
    </xf>
    <xf numFmtId="0" fontId="13" fillId="0" borderId="4" xfId="0" applyFont="1" applyFill="1" applyBorder="1" applyAlignment="1" applyProtection="1">
      <alignment vertical="center"/>
    </xf>
    <xf numFmtId="0" fontId="14" fillId="0" borderId="5" xfId="4" applyFont="1" applyFill="1" applyBorder="1" applyProtection="1"/>
    <xf numFmtId="10" fontId="13" fillId="0" borderId="1" xfId="1" applyNumberFormat="1" applyFont="1" applyFill="1" applyBorder="1" applyAlignment="1" applyProtection="1">
      <alignment horizontal="right"/>
    </xf>
    <xf numFmtId="0" fontId="14" fillId="0" borderId="0" xfId="0" applyFont="1" applyFill="1" applyBorder="1" applyAlignment="1" applyProtection="1">
      <alignment horizontal="right" vertical="center"/>
    </xf>
    <xf numFmtId="0" fontId="0" fillId="0" borderId="0" xfId="0" applyBorder="1" applyAlignment="1" applyProtection="1">
      <alignment horizontal="right"/>
    </xf>
    <xf numFmtId="10" fontId="56" fillId="48" borderId="0" xfId="1" applyNumberFormat="1" applyFont="1" applyFill="1" applyBorder="1" applyAlignment="1" applyProtection="1">
      <alignment horizontal="right" vertical="center"/>
    </xf>
    <xf numFmtId="3" fontId="0" fillId="0" borderId="0" xfId="0" applyNumberFormat="1" applyFill="1" applyBorder="1" applyAlignment="1" applyProtection="1">
      <alignment horizontal="left" vertical="center"/>
    </xf>
    <xf numFmtId="3" fontId="0" fillId="0" borderId="0" xfId="0" applyNumberFormat="1" applyBorder="1" applyProtection="1"/>
    <xf numFmtId="2" fontId="16" fillId="48" borderId="0" xfId="0" applyNumberFormat="1" applyFont="1" applyFill="1" applyBorder="1" applyAlignment="1" applyProtection="1">
      <alignment horizontal="left" vertical="center"/>
    </xf>
    <xf numFmtId="0" fontId="60" fillId="0" borderId="0" xfId="0" applyFont="1" applyFill="1" applyBorder="1" applyAlignment="1" applyProtection="1">
      <alignment vertical="center"/>
    </xf>
    <xf numFmtId="10" fontId="0" fillId="48" borderId="0" xfId="1" applyNumberFormat="1" applyFont="1" applyFill="1" applyBorder="1" applyAlignment="1" applyProtection="1">
      <alignment horizontal="left" vertical="center"/>
    </xf>
    <xf numFmtId="1" fontId="0" fillId="48" borderId="0" xfId="0" applyNumberFormat="1" applyFill="1" applyBorder="1" applyAlignment="1" applyProtection="1">
      <alignment horizontal="left" vertical="center"/>
    </xf>
    <xf numFmtId="3" fontId="9" fillId="2" borderId="0" xfId="0" applyNumberFormat="1" applyFont="1" applyFill="1" applyBorder="1"/>
    <xf numFmtId="3" fontId="9" fillId="49" borderId="0" xfId="0" applyNumberFormat="1" applyFont="1" applyFill="1" applyBorder="1" applyAlignment="1">
      <alignment vertical="center"/>
    </xf>
    <xf numFmtId="3" fontId="0" fillId="49" borderId="0" xfId="0" applyNumberFormat="1" applyFill="1"/>
    <xf numFmtId="0" fontId="0" fillId="0" borderId="0" xfId="0" applyFont="1"/>
    <xf numFmtId="0" fontId="0" fillId="2" borderId="0" xfId="0" applyFont="1" applyFill="1" applyBorder="1" applyAlignment="1">
      <alignment horizontal="left" vertical="top" indent="1"/>
    </xf>
    <xf numFmtId="0" fontId="0" fillId="2" borderId="0" xfId="0" applyFont="1" applyFill="1" applyBorder="1" applyAlignment="1">
      <alignment horizontal="center" vertical="center"/>
    </xf>
    <xf numFmtId="0" fontId="0" fillId="2" borderId="0" xfId="0" applyFont="1" applyFill="1" applyBorder="1"/>
    <xf numFmtId="0" fontId="0" fillId="0" borderId="0" xfId="0" applyFont="1" applyBorder="1"/>
    <xf numFmtId="9" fontId="0" fillId="2" borderId="0" xfId="1" applyFont="1" applyFill="1" applyBorder="1"/>
    <xf numFmtId="9" fontId="0" fillId="48" borderId="0" xfId="1" applyNumberFormat="1" applyFont="1" applyFill="1" applyBorder="1" applyAlignment="1" applyProtection="1">
      <alignment horizontal="left" vertical="center"/>
    </xf>
    <xf numFmtId="2" fontId="0" fillId="0" borderId="0" xfId="0" applyNumberFormat="1" applyFill="1"/>
    <xf numFmtId="9" fontId="16" fillId="48" borderId="0" xfId="0" applyNumberFormat="1" applyFont="1" applyFill="1" applyBorder="1" applyAlignment="1" applyProtection="1">
      <alignment horizontal="left" vertical="center"/>
    </xf>
    <xf numFmtId="9" fontId="0" fillId="0" borderId="0" xfId="0" applyNumberFormat="1" applyFill="1" applyBorder="1"/>
    <xf numFmtId="170" fontId="0" fillId="48" borderId="0" xfId="0" applyNumberFormat="1" applyFill="1" applyBorder="1" applyAlignment="1" applyProtection="1">
      <alignment horizontal="left" vertical="center"/>
    </xf>
    <xf numFmtId="165" fontId="0" fillId="0" borderId="0" xfId="0" applyNumberFormat="1" applyFill="1" applyBorder="1"/>
    <xf numFmtId="0" fontId="0" fillId="0" borderId="0" xfId="0" applyBorder="1" applyAlignment="1" applyProtection="1">
      <alignment horizontal="center" vertical="center"/>
    </xf>
    <xf numFmtId="0" fontId="8" fillId="0" borderId="0" xfId="5" applyFont="1" applyBorder="1" applyAlignment="1" applyProtection="1">
      <alignment vertical="center"/>
    </xf>
    <xf numFmtId="0" fontId="9" fillId="2" borderId="0" xfId="0" applyFont="1" applyFill="1" applyBorder="1" applyAlignment="1" applyProtection="1">
      <alignment horizontal="center" vertical="center"/>
    </xf>
    <xf numFmtId="0" fontId="9" fillId="2" borderId="0" xfId="0" applyFont="1" applyFill="1" applyBorder="1" applyAlignment="1" applyProtection="1">
      <alignment horizontal="left" vertical="center"/>
    </xf>
    <xf numFmtId="0" fontId="9" fillId="2" borderId="0" xfId="0" applyFont="1" applyFill="1" applyBorder="1" applyAlignment="1" applyProtection="1">
      <alignment vertical="center"/>
    </xf>
    <xf numFmtId="0" fontId="0" fillId="0" borderId="0" xfId="0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0" fillId="0" borderId="0" xfId="0" applyFill="1" applyBorder="1" applyAlignment="1" applyProtection="1">
      <alignment horizontal="left" vertical="center"/>
    </xf>
    <xf numFmtId="0" fontId="0" fillId="0" borderId="0" xfId="0" applyFill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vertical="center"/>
    </xf>
    <xf numFmtId="4" fontId="0" fillId="0" borderId="0" xfId="0" applyNumberFormat="1" applyBorder="1" applyAlignment="1" applyProtection="1">
      <alignment horizontal="right" vertical="center"/>
    </xf>
    <xf numFmtId="0" fontId="9" fillId="2" borderId="0" xfId="0" applyFont="1" applyFill="1" applyBorder="1" applyAlignment="1" applyProtection="1">
      <alignment horizontal="right" vertical="center"/>
    </xf>
    <xf numFmtId="0" fontId="0" fillId="0" borderId="0" xfId="0" applyAlignment="1" applyProtection="1">
      <alignment horizontal="center" vertical="center"/>
    </xf>
    <xf numFmtId="0" fontId="0" fillId="0" borderId="0" xfId="0" applyAlignment="1" applyProtection="1">
      <alignment horizontal="left" vertical="center"/>
    </xf>
    <xf numFmtId="0" fontId="0" fillId="0" borderId="0" xfId="0" applyFont="1" applyFill="1" applyBorder="1" applyAlignment="1" applyProtection="1">
      <alignment horizontal="center" vertical="center"/>
    </xf>
    <xf numFmtId="0" fontId="0" fillId="0" borderId="0" xfId="0" applyFill="1" applyAlignment="1" applyProtection="1">
      <alignment horizontal="left" vertical="center"/>
    </xf>
    <xf numFmtId="0" fontId="9" fillId="2" borderId="0" xfId="0" applyFont="1" applyFill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2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Alignment="1">
      <alignment vertical="center"/>
    </xf>
    <xf numFmtId="0" fontId="9" fillId="0" borderId="0" xfId="0" applyFont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9" fillId="49" borderId="0" xfId="0" applyFont="1" applyFill="1" applyBorder="1" applyAlignment="1">
      <alignment horizontal="left" vertical="center" wrapText="1"/>
    </xf>
    <xf numFmtId="3" fontId="0" fillId="0" borderId="0" xfId="0" applyNumberFormat="1" applyFill="1"/>
    <xf numFmtId="4" fontId="9" fillId="0" borderId="0" xfId="0" applyNumberFormat="1" applyFont="1" applyFill="1" applyBorder="1"/>
    <xf numFmtId="3" fontId="9" fillId="0" borderId="0" xfId="0" applyNumberFormat="1" applyFont="1" applyBorder="1"/>
    <xf numFmtId="3" fontId="0" fillId="0" borderId="30" xfId="0" applyNumberFormat="1" applyFill="1" applyBorder="1" applyAlignment="1">
      <alignment horizontal="left" vertical="center"/>
    </xf>
    <xf numFmtId="169" fontId="0" fillId="0" borderId="30" xfId="0" applyNumberFormat="1" applyFill="1" applyBorder="1" applyAlignment="1">
      <alignment horizontal="left" vertical="center"/>
    </xf>
    <xf numFmtId="3" fontId="0" fillId="0" borderId="30" xfId="0" applyNumberFormat="1" applyFill="1" applyBorder="1" applyAlignment="1" applyProtection="1">
      <alignment horizontal="left" vertical="center"/>
    </xf>
    <xf numFmtId="169" fontId="0" fillId="0" borderId="31" xfId="0" applyNumberFormat="1" applyFill="1" applyBorder="1" applyAlignment="1" applyProtection="1">
      <alignment horizontal="left" vertical="center"/>
    </xf>
    <xf numFmtId="3" fontId="9" fillId="0" borderId="31" xfId="0" applyNumberFormat="1" applyFont="1" applyFill="1" applyBorder="1" applyAlignment="1">
      <alignment horizontal="left" vertical="center"/>
    </xf>
    <xf numFmtId="0" fontId="0" fillId="0" borderId="0" xfId="0" applyBorder="1" applyAlignment="1">
      <alignment horizontal="justify" vertical="center"/>
    </xf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vertical="center" wrapText="1"/>
    </xf>
    <xf numFmtId="0" fontId="0" fillId="0" borderId="0" xfId="0" applyFill="1" applyBorder="1" applyAlignment="1">
      <alignment horizontal="justify" vertical="center"/>
    </xf>
    <xf numFmtId="3" fontId="0" fillId="0" borderId="0" xfId="0" applyNumberFormat="1" applyFill="1" applyBorder="1" applyAlignment="1">
      <alignment horizontal="center"/>
    </xf>
    <xf numFmtId="167" fontId="0" fillId="0" borderId="0" xfId="0" applyNumberFormat="1" applyFill="1" applyBorder="1" applyAlignment="1">
      <alignment horizontal="center"/>
    </xf>
    <xf numFmtId="167" fontId="0" fillId="48" borderId="0" xfId="0" applyNumberFormat="1" applyFill="1" applyBorder="1" applyAlignment="1">
      <alignment horizontal="center" vertical="center"/>
    </xf>
    <xf numFmtId="0" fontId="52" fillId="0" borderId="0" xfId="0" applyFont="1" applyProtection="1"/>
    <xf numFmtId="0" fontId="9" fillId="0" borderId="0" xfId="0" applyFont="1" applyFill="1" applyBorder="1" applyAlignment="1">
      <alignment horizontal="center"/>
    </xf>
    <xf numFmtId="0" fontId="0" fillId="0" borderId="0" xfId="0" applyBorder="1" applyAlignment="1">
      <alignment horizontal="left"/>
    </xf>
    <xf numFmtId="0" fontId="61" fillId="0" borderId="0" xfId="0" applyFont="1" applyProtection="1"/>
    <xf numFmtId="0" fontId="9" fillId="50" borderId="0" xfId="0" applyFont="1" applyFill="1" applyBorder="1" applyAlignment="1" applyProtection="1">
      <alignment horizontal="center" vertical="center"/>
    </xf>
    <xf numFmtId="0" fontId="9" fillId="50" borderId="0" xfId="0" applyFont="1" applyFill="1" applyBorder="1" applyAlignment="1" applyProtection="1">
      <alignment horizontal="left" vertical="center"/>
    </xf>
    <xf numFmtId="0" fontId="9" fillId="50" borderId="0" xfId="0" applyFont="1" applyFill="1" applyBorder="1" applyAlignment="1" applyProtection="1">
      <alignment vertical="center"/>
    </xf>
    <xf numFmtId="3" fontId="0" fillId="51" borderId="3" xfId="0" applyNumberFormat="1" applyFill="1" applyBorder="1" applyAlignment="1" applyProtection="1">
      <alignment horizontal="left" vertical="center"/>
      <protection locked="0"/>
    </xf>
    <xf numFmtId="49" fontId="0" fillId="51" borderId="3" xfId="0" applyNumberFormat="1" applyFill="1" applyBorder="1" applyAlignment="1" applyProtection="1">
      <alignment horizontal="left" vertical="center"/>
      <protection locked="0"/>
    </xf>
    <xf numFmtId="3" fontId="57" fillId="51" borderId="3" xfId="201" applyNumberFormat="1" applyFill="1" applyBorder="1" applyAlignment="1" applyProtection="1">
      <alignment horizontal="left" vertical="center"/>
      <protection locked="0"/>
    </xf>
    <xf numFmtId="169" fontId="0" fillId="51" borderId="3" xfId="0" applyNumberFormat="1" applyFill="1" applyBorder="1" applyAlignment="1" applyProtection="1">
      <alignment horizontal="left" vertical="center"/>
      <protection locked="0"/>
    </xf>
    <xf numFmtId="0" fontId="9" fillId="50" borderId="29" xfId="0" applyFont="1" applyFill="1" applyBorder="1" applyProtection="1"/>
    <xf numFmtId="0" fontId="9" fillId="50" borderId="30" xfId="0" applyFont="1" applyFill="1" applyBorder="1" applyProtection="1"/>
    <xf numFmtId="0" fontId="9" fillId="50" borderId="0" xfId="0" applyFont="1" applyFill="1" applyBorder="1" applyProtection="1"/>
    <xf numFmtId="0" fontId="9" fillId="50" borderId="0" xfId="0" applyFont="1" applyFill="1" applyBorder="1" applyAlignment="1" applyProtection="1">
      <alignment horizontal="left" vertical="top" indent="1"/>
    </xf>
    <xf numFmtId="0" fontId="9" fillId="50" borderId="29" xfId="0" applyFont="1" applyFill="1" applyBorder="1" applyAlignment="1">
      <alignment horizontal="left" vertical="center"/>
    </xf>
    <xf numFmtId="0" fontId="9" fillId="50" borderId="30" xfId="0" applyFont="1" applyFill="1" applyBorder="1" applyAlignment="1">
      <alignment horizontal="left" vertical="center"/>
    </xf>
    <xf numFmtId="0" fontId="9" fillId="50" borderId="0" xfId="0" applyFont="1" applyFill="1" applyBorder="1" applyAlignment="1">
      <alignment horizontal="left" vertical="top" indent="1"/>
    </xf>
    <xf numFmtId="0" fontId="9" fillId="50" borderId="0" xfId="0" applyFont="1" applyFill="1" applyBorder="1" applyAlignment="1">
      <alignment vertical="center"/>
    </xf>
    <xf numFmtId="0" fontId="9" fillId="50" borderId="0" xfId="0" applyFont="1" applyFill="1" applyBorder="1" applyAlignment="1">
      <alignment horizontal="center" vertical="center"/>
    </xf>
    <xf numFmtId="0" fontId="9" fillId="50" borderId="0" xfId="0" applyFont="1" applyFill="1" applyBorder="1"/>
    <xf numFmtId="0" fontId="9" fillId="50" borderId="0" xfId="0" applyFont="1" applyFill="1" applyBorder="1" applyAlignment="1">
      <alignment horizontal="center"/>
    </xf>
    <xf numFmtId="9" fontId="9" fillId="52" borderId="3" xfId="0" applyNumberFormat="1" applyFont="1" applyFill="1" applyBorder="1" applyAlignment="1">
      <alignment horizontal="right"/>
    </xf>
    <xf numFmtId="3" fontId="9" fillId="52" borderId="3" xfId="0" applyNumberFormat="1" applyFont="1" applyFill="1" applyBorder="1" applyAlignment="1">
      <alignment horizontal="right"/>
    </xf>
    <xf numFmtId="3" fontId="9" fillId="52" borderId="3" xfId="1" applyNumberFormat="1" applyFont="1" applyFill="1" applyBorder="1"/>
    <xf numFmtId="0" fontId="9" fillId="50" borderId="0" xfId="0" applyFont="1" applyFill="1" applyBorder="1" applyAlignment="1">
      <alignment horizontal="left" indent="1"/>
    </xf>
    <xf numFmtId="0" fontId="9" fillId="50" borderId="0" xfId="0" applyFont="1" applyFill="1" applyBorder="1" applyAlignment="1">
      <alignment horizontal="center" vertical="center" wrapText="1"/>
    </xf>
    <xf numFmtId="15" fontId="13" fillId="50" borderId="0" xfId="3" applyNumberFormat="1" applyFont="1" applyFill="1" applyBorder="1" applyAlignment="1" applyProtection="1">
      <alignment horizontal="center"/>
    </xf>
    <xf numFmtId="166" fontId="14" fillId="50" borderId="0" xfId="1" applyNumberFormat="1" applyFont="1" applyFill="1" applyBorder="1" applyAlignment="1" applyProtection="1">
      <alignment horizontal="right" vertical="top" wrapText="1"/>
    </xf>
    <xf numFmtId="0" fontId="13" fillId="50" borderId="0" xfId="0" applyFont="1" applyFill="1" applyBorder="1" applyAlignment="1" applyProtection="1">
      <alignment vertical="center"/>
    </xf>
    <xf numFmtId="3" fontId="0" fillId="0" borderId="2" xfId="0" applyNumberFormat="1" applyBorder="1" applyProtection="1"/>
    <xf numFmtId="3" fontId="9" fillId="49" borderId="0" xfId="0" applyNumberFormat="1" applyFont="1" applyFill="1" applyBorder="1" applyProtection="1"/>
    <xf numFmtId="3" fontId="9" fillId="49" borderId="31" xfId="0" applyNumberFormat="1" applyFont="1" applyFill="1" applyBorder="1" applyProtection="1"/>
    <xf numFmtId="0" fontId="0" fillId="49" borderId="0" xfId="0" applyFill="1" applyProtection="1"/>
    <xf numFmtId="0" fontId="0" fillId="0" borderId="2" xfId="0" applyBorder="1" applyAlignment="1" applyProtection="1">
      <alignment horizontal="left" vertical="center"/>
    </xf>
    <xf numFmtId="0" fontId="9" fillId="49" borderId="16" xfId="0" applyFont="1" applyFill="1" applyBorder="1" applyProtection="1"/>
    <xf numFmtId="0" fontId="0" fillId="0" borderId="32" xfId="0" applyBorder="1" applyAlignment="1" applyProtection="1">
      <alignment wrapText="1"/>
    </xf>
    <xf numFmtId="0" fontId="0" fillId="0" borderId="32" xfId="0" applyFill="1" applyBorder="1" applyAlignment="1" applyProtection="1">
      <alignment horizontal="center" wrapText="1"/>
    </xf>
    <xf numFmtId="0" fontId="0" fillId="0" borderId="0" xfId="0" applyAlignment="1" applyProtection="1">
      <alignment wrapText="1"/>
    </xf>
    <xf numFmtId="0" fontId="9" fillId="2" borderId="37" xfId="0" applyFont="1" applyFill="1" applyBorder="1" applyAlignment="1" applyProtection="1">
      <alignment horizontal="center" vertical="center" wrapText="1"/>
    </xf>
    <xf numFmtId="0" fontId="9" fillId="2" borderId="32" xfId="0" applyFont="1" applyFill="1" applyBorder="1" applyAlignment="1" applyProtection="1">
      <alignment horizontal="center" vertical="center" wrapText="1"/>
    </xf>
    <xf numFmtId="3" fontId="9" fillId="49" borderId="16" xfId="0" applyNumberFormat="1" applyFont="1" applyFill="1" applyBorder="1" applyProtection="1"/>
    <xf numFmtId="0" fontId="0" fillId="49" borderId="0" xfId="0" applyFont="1" applyFill="1" applyBorder="1" applyAlignment="1">
      <alignment horizontal="center" vertical="center"/>
    </xf>
    <xf numFmtId="10" fontId="0" fillId="0" borderId="40" xfId="0" applyNumberFormat="1" applyBorder="1" applyProtection="1"/>
    <xf numFmtId="3" fontId="0" fillId="51" borderId="35" xfId="0" applyNumberFormat="1" applyFill="1" applyBorder="1" applyAlignment="1" applyProtection="1">
      <alignment horizontal="right" vertical="center"/>
      <protection locked="0"/>
    </xf>
    <xf numFmtId="3" fontId="0" fillId="0" borderId="0" xfId="0" applyNumberFormat="1" applyBorder="1" applyAlignment="1" applyProtection="1">
      <alignment vertical="center"/>
    </xf>
    <xf numFmtId="3" fontId="0" fillId="51" borderId="1" xfId="0" applyNumberFormat="1" applyFill="1" applyBorder="1" applyAlignment="1" applyProtection="1">
      <alignment horizontal="right" vertical="center"/>
      <protection locked="0"/>
    </xf>
    <xf numFmtId="3" fontId="0" fillId="0" borderId="2" xfId="0" applyNumberFormat="1" applyBorder="1" applyAlignment="1" applyProtection="1">
      <alignment vertical="center"/>
    </xf>
    <xf numFmtId="3" fontId="0" fillId="51" borderId="3" xfId="0" applyNumberFormat="1" applyFill="1" applyBorder="1" applyAlignment="1" applyProtection="1">
      <alignment horizontal="right" vertical="center"/>
      <protection locked="0"/>
    </xf>
    <xf numFmtId="3" fontId="0" fillId="51" borderId="4" xfId="0" applyNumberFormat="1" applyFill="1" applyBorder="1" applyAlignment="1" applyProtection="1">
      <alignment horizontal="right" vertical="center"/>
      <protection locked="0"/>
    </xf>
    <xf numFmtId="3" fontId="0" fillId="0" borderId="32" xfId="0" applyNumberFormat="1" applyBorder="1" applyAlignment="1" applyProtection="1">
      <alignment vertical="center"/>
    </xf>
    <xf numFmtId="3" fontId="0" fillId="51" borderId="34" xfId="0" applyNumberFormat="1" applyFill="1" applyBorder="1" applyAlignment="1" applyProtection="1">
      <alignment horizontal="right" vertical="center"/>
      <protection locked="0"/>
    </xf>
    <xf numFmtId="3" fontId="0" fillId="0" borderId="3" xfId="0" applyNumberFormat="1" applyFill="1" applyBorder="1" applyAlignment="1" applyProtection="1">
      <alignment horizontal="left" vertical="center"/>
    </xf>
    <xf numFmtId="3" fontId="0" fillId="0" borderId="40" xfId="0" applyNumberFormat="1" applyFill="1" applyBorder="1" applyAlignment="1" applyProtection="1">
      <alignment horizontal="left" vertical="center"/>
    </xf>
    <xf numFmtId="0" fontId="51" fillId="0" borderId="0" xfId="199" applyFont="1" applyAlignment="1" applyProtection="1">
      <alignment horizontal="center" vertical="center" wrapText="1"/>
    </xf>
    <xf numFmtId="0" fontId="52" fillId="0" borderId="0" xfId="0" applyFont="1" applyAlignment="1" applyProtection="1">
      <alignment horizontal="center" wrapText="1"/>
    </xf>
    <xf numFmtId="0" fontId="0" fillId="0" borderId="0" xfId="0" applyBorder="1" applyAlignment="1" applyProtection="1">
      <alignment horizontal="left"/>
    </xf>
    <xf numFmtId="0" fontId="0" fillId="0" borderId="0" xfId="0" applyFont="1" applyFill="1" applyBorder="1" applyAlignment="1" applyProtection="1">
      <alignment horizontal="left" wrapText="1"/>
    </xf>
    <xf numFmtId="0" fontId="0" fillId="0" borderId="0" xfId="0" applyAlignment="1" applyProtection="1">
      <alignment horizontal="left" vertical="center" wrapText="1"/>
    </xf>
    <xf numFmtId="0" fontId="0" fillId="0" borderId="36" xfId="0" applyBorder="1" applyAlignment="1" applyProtection="1">
      <alignment horizontal="center" vertical="center"/>
    </xf>
    <xf numFmtId="0" fontId="0" fillId="0" borderId="33" xfId="0" applyBorder="1" applyAlignment="1" applyProtection="1">
      <alignment horizontal="center" vertical="center"/>
    </xf>
    <xf numFmtId="0" fontId="0" fillId="0" borderId="37" xfId="0" applyBorder="1" applyAlignment="1" applyProtection="1">
      <alignment horizontal="center" vertical="center"/>
    </xf>
    <xf numFmtId="0" fontId="9" fillId="49" borderId="38" xfId="0" applyFont="1" applyFill="1" applyBorder="1" applyAlignment="1" applyProtection="1">
      <alignment horizontal="center" vertical="center"/>
    </xf>
    <xf numFmtId="0" fontId="9" fillId="49" borderId="39" xfId="0" applyFont="1" applyFill="1" applyBorder="1" applyAlignment="1" applyProtection="1">
      <alignment horizontal="center" vertical="center"/>
    </xf>
    <xf numFmtId="4" fontId="0" fillId="0" borderId="33" xfId="0" applyNumberFormat="1" applyBorder="1" applyAlignment="1" applyProtection="1">
      <alignment horizontal="center" vertical="center"/>
    </xf>
    <xf numFmtId="4" fontId="0" fillId="0" borderId="15" xfId="0" applyNumberFormat="1" applyBorder="1" applyAlignment="1" applyProtection="1">
      <alignment horizontal="center" vertical="center"/>
    </xf>
    <xf numFmtId="4" fontId="0" fillId="0" borderId="37" xfId="0" applyNumberFormat="1" applyBorder="1" applyAlignment="1" applyProtection="1">
      <alignment horizontal="center" vertical="center"/>
    </xf>
    <xf numFmtId="0" fontId="9" fillId="2" borderId="32" xfId="0" applyFont="1" applyFill="1" applyBorder="1" applyAlignment="1" applyProtection="1">
      <alignment horizontal="center" vertical="center" wrapText="1"/>
    </xf>
    <xf numFmtId="0" fontId="0" fillId="2" borderId="0" xfId="0" applyFill="1" applyAlignment="1" applyProtection="1">
      <alignment horizontal="center"/>
    </xf>
    <xf numFmtId="0" fontId="9" fillId="0" borderId="0" xfId="0" applyFont="1" applyFill="1" applyBorder="1" applyAlignment="1">
      <alignment horizontal="center"/>
    </xf>
    <xf numFmtId="0" fontId="9" fillId="50" borderId="0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wrapText="1"/>
    </xf>
    <xf numFmtId="10" fontId="0" fillId="0" borderId="0" xfId="0" applyNumberForma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justify" wrapText="1"/>
    </xf>
  </cellXfs>
  <cellStyles count="202">
    <cellStyle name="20% - Accent1 2" xfId="9" xr:uid="{00000000-0005-0000-0000-000000000000}"/>
    <cellStyle name="20% - Accent2 2" xfId="10" xr:uid="{00000000-0005-0000-0000-000001000000}"/>
    <cellStyle name="20% - Accent3 2" xfId="11" xr:uid="{00000000-0005-0000-0000-000002000000}"/>
    <cellStyle name="20% - Accent4 2" xfId="12" xr:uid="{00000000-0005-0000-0000-000003000000}"/>
    <cellStyle name="20% - Accent5 2" xfId="13" xr:uid="{00000000-0005-0000-0000-000004000000}"/>
    <cellStyle name="20% - Accent6 2" xfId="14" xr:uid="{00000000-0005-0000-0000-000005000000}"/>
    <cellStyle name="20% - akcent 1" xfId="15" xr:uid="{00000000-0005-0000-0000-000006000000}"/>
    <cellStyle name="20% - akcent 2" xfId="16" xr:uid="{00000000-0005-0000-0000-000007000000}"/>
    <cellStyle name="20% - akcent 3" xfId="17" xr:uid="{00000000-0005-0000-0000-000008000000}"/>
    <cellStyle name="20% - akcent 4" xfId="18" xr:uid="{00000000-0005-0000-0000-000009000000}"/>
    <cellStyle name="20% - akcent 5" xfId="19" xr:uid="{00000000-0005-0000-0000-00000A000000}"/>
    <cellStyle name="20% - akcent 6" xfId="20" xr:uid="{00000000-0005-0000-0000-00000B000000}"/>
    <cellStyle name="40% - Accent1 2" xfId="21" xr:uid="{00000000-0005-0000-0000-00000C000000}"/>
    <cellStyle name="40% - Accent2 2" xfId="22" xr:uid="{00000000-0005-0000-0000-00000D000000}"/>
    <cellStyle name="40% - Accent3 2" xfId="23" xr:uid="{00000000-0005-0000-0000-00000E000000}"/>
    <cellStyle name="40% - Accent4 2" xfId="24" xr:uid="{00000000-0005-0000-0000-00000F000000}"/>
    <cellStyle name="40% - Accent5 2" xfId="25" xr:uid="{00000000-0005-0000-0000-000010000000}"/>
    <cellStyle name="40% - Accent6 2" xfId="26" xr:uid="{00000000-0005-0000-0000-000011000000}"/>
    <cellStyle name="40% - akcent 1" xfId="27" xr:uid="{00000000-0005-0000-0000-000012000000}"/>
    <cellStyle name="40% - akcent 2" xfId="28" xr:uid="{00000000-0005-0000-0000-000013000000}"/>
    <cellStyle name="40% - akcent 3" xfId="29" xr:uid="{00000000-0005-0000-0000-000014000000}"/>
    <cellStyle name="40% - akcent 4" xfId="30" xr:uid="{00000000-0005-0000-0000-000015000000}"/>
    <cellStyle name="40% - akcent 5" xfId="31" xr:uid="{00000000-0005-0000-0000-000016000000}"/>
    <cellStyle name="40% - akcent 6" xfId="32" xr:uid="{00000000-0005-0000-0000-000017000000}"/>
    <cellStyle name="60% - Accent1 2" xfId="33" xr:uid="{00000000-0005-0000-0000-000018000000}"/>
    <cellStyle name="60% - Accent2 2" xfId="34" xr:uid="{00000000-0005-0000-0000-000019000000}"/>
    <cellStyle name="60% - Accent3 2" xfId="35" xr:uid="{00000000-0005-0000-0000-00001A000000}"/>
    <cellStyle name="60% - Accent4 2" xfId="36" xr:uid="{00000000-0005-0000-0000-00001B000000}"/>
    <cellStyle name="60% - Accent5 2" xfId="37" xr:uid="{00000000-0005-0000-0000-00001C000000}"/>
    <cellStyle name="60% - Accent6 2" xfId="38" xr:uid="{00000000-0005-0000-0000-00001D000000}"/>
    <cellStyle name="60% - akcent 1" xfId="39" xr:uid="{00000000-0005-0000-0000-00001E000000}"/>
    <cellStyle name="60% - akcent 2" xfId="40" xr:uid="{00000000-0005-0000-0000-00001F000000}"/>
    <cellStyle name="60% - akcent 3" xfId="41" xr:uid="{00000000-0005-0000-0000-000020000000}"/>
    <cellStyle name="60% - akcent 4" xfId="42" xr:uid="{00000000-0005-0000-0000-000021000000}"/>
    <cellStyle name="60% - akcent 5" xfId="43" xr:uid="{00000000-0005-0000-0000-000022000000}"/>
    <cellStyle name="60% - akcent 6" xfId="44" xr:uid="{00000000-0005-0000-0000-000023000000}"/>
    <cellStyle name="Accent1 2" xfId="45" xr:uid="{00000000-0005-0000-0000-000024000000}"/>
    <cellStyle name="Accent2 2" xfId="46" xr:uid="{00000000-0005-0000-0000-000025000000}"/>
    <cellStyle name="Accent3 2" xfId="47" xr:uid="{00000000-0005-0000-0000-000026000000}"/>
    <cellStyle name="Accent4 2" xfId="48" xr:uid="{00000000-0005-0000-0000-000027000000}"/>
    <cellStyle name="Accent5 2" xfId="49" xr:uid="{00000000-0005-0000-0000-000028000000}"/>
    <cellStyle name="Accent6 2" xfId="50" xr:uid="{00000000-0005-0000-0000-000029000000}"/>
    <cellStyle name="Akcent 1" xfId="51" xr:uid="{00000000-0005-0000-0000-00002A000000}"/>
    <cellStyle name="Akcent 2" xfId="52" xr:uid="{00000000-0005-0000-0000-00002B000000}"/>
    <cellStyle name="Akcent 3" xfId="53" xr:uid="{00000000-0005-0000-0000-00002C000000}"/>
    <cellStyle name="Akcent 4" xfId="54" xr:uid="{00000000-0005-0000-0000-00002D000000}"/>
    <cellStyle name="Akcent 5" xfId="55" xr:uid="{00000000-0005-0000-0000-00002E000000}"/>
    <cellStyle name="Akcent 6" xfId="56" xr:uid="{00000000-0005-0000-0000-00002F000000}"/>
    <cellStyle name="Bad 2" xfId="57" xr:uid="{00000000-0005-0000-0000-000030000000}"/>
    <cellStyle name="Calculation 2" xfId="58" xr:uid="{00000000-0005-0000-0000-000031000000}"/>
    <cellStyle name="Calculation 2 2" xfId="112" xr:uid="{00000000-0005-0000-0000-000032000000}"/>
    <cellStyle name="Calculation 2 3" xfId="111" xr:uid="{00000000-0005-0000-0000-000033000000}"/>
    <cellStyle name="Calculation 2 4" xfId="144" xr:uid="{00000000-0005-0000-0000-000034000000}"/>
    <cellStyle name="Check Cell 2" xfId="59" xr:uid="{00000000-0005-0000-0000-000035000000}"/>
    <cellStyle name="Comma 2" xfId="168" xr:uid="{00000000-0005-0000-0000-000036000000}"/>
    <cellStyle name="Dane wejściowe" xfId="60" xr:uid="{00000000-0005-0000-0000-000037000000}"/>
    <cellStyle name="Dane wejściowe 2" xfId="113" xr:uid="{00000000-0005-0000-0000-000038000000}"/>
    <cellStyle name="Dane wejściowe 3" xfId="110" xr:uid="{00000000-0005-0000-0000-000039000000}"/>
    <cellStyle name="Dane wejściowe 4" xfId="145" xr:uid="{00000000-0005-0000-0000-00003A000000}"/>
    <cellStyle name="Dane wyjściowe" xfId="61" xr:uid="{00000000-0005-0000-0000-00003B000000}"/>
    <cellStyle name="Dane wyjściowe 2" xfId="114" xr:uid="{00000000-0005-0000-0000-00003C000000}"/>
    <cellStyle name="Dane wyjściowe 3" xfId="109" xr:uid="{00000000-0005-0000-0000-00003D000000}"/>
    <cellStyle name="Dane wyjściowe 4" xfId="146" xr:uid="{00000000-0005-0000-0000-00003E000000}"/>
    <cellStyle name="Dobre" xfId="62" xr:uid="{00000000-0005-0000-0000-00003F000000}"/>
    <cellStyle name="Dziesiętny" xfId="2" builtinId="3"/>
    <cellStyle name="Explanatory Text 2" xfId="63" xr:uid="{00000000-0005-0000-0000-000041000000}"/>
    <cellStyle name="Good 2" xfId="64" xr:uid="{00000000-0005-0000-0000-000042000000}"/>
    <cellStyle name="Heading 1 2" xfId="65" xr:uid="{00000000-0005-0000-0000-000043000000}"/>
    <cellStyle name="Heading 2 2" xfId="66" xr:uid="{00000000-0005-0000-0000-000044000000}"/>
    <cellStyle name="Heading 3 2" xfId="67" xr:uid="{00000000-0005-0000-0000-000045000000}"/>
    <cellStyle name="Heading 4 2" xfId="68" xr:uid="{00000000-0005-0000-0000-000046000000}"/>
    <cellStyle name="Hiperłącze" xfId="201" builtinId="8"/>
    <cellStyle name="Input 2" xfId="69" xr:uid="{00000000-0005-0000-0000-000048000000}"/>
    <cellStyle name="Input 2 2" xfId="115" xr:uid="{00000000-0005-0000-0000-000049000000}"/>
    <cellStyle name="Input 2 3" xfId="108" xr:uid="{00000000-0005-0000-0000-00004A000000}"/>
    <cellStyle name="Input 2 4" xfId="147" xr:uid="{00000000-0005-0000-0000-00004B000000}"/>
    <cellStyle name="Komórka połączona" xfId="70" xr:uid="{00000000-0005-0000-0000-00004C000000}"/>
    <cellStyle name="Komórka zaznaczona" xfId="71" xr:uid="{00000000-0005-0000-0000-00004D000000}"/>
    <cellStyle name="Linked Cell 2" xfId="72" xr:uid="{00000000-0005-0000-0000-00004E000000}"/>
    <cellStyle name="Nagłówek 1" xfId="73" xr:uid="{00000000-0005-0000-0000-00004F000000}"/>
    <cellStyle name="Nagłówek 2" xfId="74" xr:uid="{00000000-0005-0000-0000-000050000000}"/>
    <cellStyle name="Nagłówek 3" xfId="75" xr:uid="{00000000-0005-0000-0000-000051000000}"/>
    <cellStyle name="Nagłówek 4" xfId="76" xr:uid="{00000000-0005-0000-0000-000052000000}"/>
    <cellStyle name="Neutral 2" xfId="77" xr:uid="{00000000-0005-0000-0000-000053000000}"/>
    <cellStyle name="Neutralne" xfId="78" xr:uid="{00000000-0005-0000-0000-000054000000}"/>
    <cellStyle name="Normal 2" xfId="7" xr:uid="{00000000-0005-0000-0000-000055000000}"/>
    <cellStyle name="Normal 3" xfId="5" xr:uid="{00000000-0005-0000-0000-000056000000}"/>
    <cellStyle name="Normal 3 2" xfId="92" xr:uid="{00000000-0005-0000-0000-000057000000}"/>
    <cellStyle name="Normal 3 2 2" xfId="96" xr:uid="{00000000-0005-0000-0000-000058000000}"/>
    <cellStyle name="Normal 3 2 2 2" xfId="126" xr:uid="{00000000-0005-0000-0000-000059000000}"/>
    <cellStyle name="Normal 3 2 2 2 2" xfId="191" xr:uid="{00000000-0005-0000-0000-00005A000000}"/>
    <cellStyle name="Normal 3 2 2 3" xfId="158" xr:uid="{00000000-0005-0000-0000-00005B000000}"/>
    <cellStyle name="Normal 3 2 2 4" xfId="175" xr:uid="{00000000-0005-0000-0000-00005C000000}"/>
    <cellStyle name="Normal 3 2 3" xfId="100" xr:uid="{00000000-0005-0000-0000-00005D000000}"/>
    <cellStyle name="Normal 3 2 3 2" xfId="130" xr:uid="{00000000-0005-0000-0000-00005E000000}"/>
    <cellStyle name="Normal 3 2 3 2 2" xfId="195" xr:uid="{00000000-0005-0000-0000-00005F000000}"/>
    <cellStyle name="Normal 3 2 3 3" xfId="162" xr:uid="{00000000-0005-0000-0000-000060000000}"/>
    <cellStyle name="Normal 3 2 3 4" xfId="179" xr:uid="{00000000-0005-0000-0000-000061000000}"/>
    <cellStyle name="Normal 3 2 4" xfId="104" xr:uid="{00000000-0005-0000-0000-000062000000}"/>
    <cellStyle name="Normal 3 2 4 2" xfId="134" xr:uid="{00000000-0005-0000-0000-000063000000}"/>
    <cellStyle name="Normal 3 2 4 2 2" xfId="199" xr:uid="{00000000-0005-0000-0000-000064000000}"/>
    <cellStyle name="Normal 3 2 4 3" xfId="166" xr:uid="{00000000-0005-0000-0000-000065000000}"/>
    <cellStyle name="Normal 3 2 4 4" xfId="183" xr:uid="{00000000-0005-0000-0000-000066000000}"/>
    <cellStyle name="Normal 3 2 5" xfId="122" xr:uid="{00000000-0005-0000-0000-000067000000}"/>
    <cellStyle name="Normal 3 2 5 2" xfId="187" xr:uid="{00000000-0005-0000-0000-000068000000}"/>
    <cellStyle name="Normal 3 2 6" xfId="154" xr:uid="{00000000-0005-0000-0000-000069000000}"/>
    <cellStyle name="Normal 3 2 7" xfId="171" xr:uid="{00000000-0005-0000-0000-00006A000000}"/>
    <cellStyle name="Normal 3 3" xfId="94" xr:uid="{00000000-0005-0000-0000-00006B000000}"/>
    <cellStyle name="Normal 3 3 2" xfId="124" xr:uid="{00000000-0005-0000-0000-00006C000000}"/>
    <cellStyle name="Normal 3 3 2 2" xfId="189" xr:uid="{00000000-0005-0000-0000-00006D000000}"/>
    <cellStyle name="Normal 3 3 3" xfId="156" xr:uid="{00000000-0005-0000-0000-00006E000000}"/>
    <cellStyle name="Normal 3 3 4" xfId="173" xr:uid="{00000000-0005-0000-0000-00006F000000}"/>
    <cellStyle name="Normal 3 4" xfId="98" xr:uid="{00000000-0005-0000-0000-000070000000}"/>
    <cellStyle name="Normal 3 4 2" xfId="128" xr:uid="{00000000-0005-0000-0000-000071000000}"/>
    <cellStyle name="Normal 3 4 2 2" xfId="193" xr:uid="{00000000-0005-0000-0000-000072000000}"/>
    <cellStyle name="Normal 3 4 3" xfId="160" xr:uid="{00000000-0005-0000-0000-000073000000}"/>
    <cellStyle name="Normal 3 4 4" xfId="177" xr:uid="{00000000-0005-0000-0000-000074000000}"/>
    <cellStyle name="Normal 3 5" xfId="102" xr:uid="{00000000-0005-0000-0000-000075000000}"/>
    <cellStyle name="Normal 3 5 2" xfId="132" xr:uid="{00000000-0005-0000-0000-000076000000}"/>
    <cellStyle name="Normal 3 5 2 2" xfId="197" xr:uid="{00000000-0005-0000-0000-000077000000}"/>
    <cellStyle name="Normal 3 5 3" xfId="164" xr:uid="{00000000-0005-0000-0000-000078000000}"/>
    <cellStyle name="Normal 3 5 4" xfId="181" xr:uid="{00000000-0005-0000-0000-000079000000}"/>
    <cellStyle name="Normal 3 6" xfId="106" xr:uid="{00000000-0005-0000-0000-00007A000000}"/>
    <cellStyle name="Normal 3 6 2" xfId="185" xr:uid="{00000000-0005-0000-0000-00007B000000}"/>
    <cellStyle name="Normal 3 7" xfId="142" xr:uid="{00000000-0005-0000-0000-00007C000000}"/>
    <cellStyle name="Normal 3 8" xfId="169" xr:uid="{00000000-0005-0000-0000-00007D000000}"/>
    <cellStyle name="Normal_Model Energia Pro v.17" xfId="4" xr:uid="{00000000-0005-0000-0000-00007E000000}"/>
    <cellStyle name="Normalny" xfId="0" builtinId="0"/>
    <cellStyle name="Normalny_Partex_DCF_base case x-ref" xfId="3" xr:uid="{00000000-0005-0000-0000-000080000000}"/>
    <cellStyle name="Note 2" xfId="79" xr:uid="{00000000-0005-0000-0000-000081000000}"/>
    <cellStyle name="Note 2 2" xfId="116" xr:uid="{00000000-0005-0000-0000-000082000000}"/>
    <cellStyle name="Note 2 3" xfId="136" xr:uid="{00000000-0005-0000-0000-000083000000}"/>
    <cellStyle name="Note 2 4" xfId="148" xr:uid="{00000000-0005-0000-0000-000084000000}"/>
    <cellStyle name="Obliczenia" xfId="80" xr:uid="{00000000-0005-0000-0000-000085000000}"/>
    <cellStyle name="Obliczenia 2" xfId="117" xr:uid="{00000000-0005-0000-0000-000086000000}"/>
    <cellStyle name="Obliczenia 3" xfId="137" xr:uid="{00000000-0005-0000-0000-000087000000}"/>
    <cellStyle name="Obliczenia 4" xfId="149" xr:uid="{00000000-0005-0000-0000-000088000000}"/>
    <cellStyle name="Output 2" xfId="81" xr:uid="{00000000-0005-0000-0000-000089000000}"/>
    <cellStyle name="Output 2 2" xfId="118" xr:uid="{00000000-0005-0000-0000-00008A000000}"/>
    <cellStyle name="Output 2 3" xfId="138" xr:uid="{00000000-0005-0000-0000-00008B000000}"/>
    <cellStyle name="Output 2 4" xfId="150" xr:uid="{00000000-0005-0000-0000-00008C000000}"/>
    <cellStyle name="Percent 2" xfId="82" xr:uid="{00000000-0005-0000-0000-00008D000000}"/>
    <cellStyle name="Percent 3" xfId="6" xr:uid="{00000000-0005-0000-0000-00008E000000}"/>
    <cellStyle name="Percent 3 2" xfId="93" xr:uid="{00000000-0005-0000-0000-00008F000000}"/>
    <cellStyle name="Percent 3 2 2" xfId="97" xr:uid="{00000000-0005-0000-0000-000090000000}"/>
    <cellStyle name="Percent 3 2 2 2" xfId="127" xr:uid="{00000000-0005-0000-0000-000091000000}"/>
    <cellStyle name="Percent 3 2 2 2 2" xfId="192" xr:uid="{00000000-0005-0000-0000-000092000000}"/>
    <cellStyle name="Percent 3 2 2 3" xfId="159" xr:uid="{00000000-0005-0000-0000-000093000000}"/>
    <cellStyle name="Percent 3 2 2 4" xfId="176" xr:uid="{00000000-0005-0000-0000-000094000000}"/>
    <cellStyle name="Percent 3 2 3" xfId="101" xr:uid="{00000000-0005-0000-0000-000095000000}"/>
    <cellStyle name="Percent 3 2 3 2" xfId="131" xr:uid="{00000000-0005-0000-0000-000096000000}"/>
    <cellStyle name="Percent 3 2 3 2 2" xfId="196" xr:uid="{00000000-0005-0000-0000-000097000000}"/>
    <cellStyle name="Percent 3 2 3 3" xfId="163" xr:uid="{00000000-0005-0000-0000-000098000000}"/>
    <cellStyle name="Percent 3 2 3 4" xfId="180" xr:uid="{00000000-0005-0000-0000-000099000000}"/>
    <cellStyle name="Percent 3 2 4" xfId="105" xr:uid="{00000000-0005-0000-0000-00009A000000}"/>
    <cellStyle name="Percent 3 2 4 2" xfId="135" xr:uid="{00000000-0005-0000-0000-00009B000000}"/>
    <cellStyle name="Percent 3 2 4 2 2" xfId="200" xr:uid="{00000000-0005-0000-0000-00009C000000}"/>
    <cellStyle name="Percent 3 2 4 3" xfId="167" xr:uid="{00000000-0005-0000-0000-00009D000000}"/>
    <cellStyle name="Percent 3 2 4 4" xfId="184" xr:uid="{00000000-0005-0000-0000-00009E000000}"/>
    <cellStyle name="Percent 3 2 5" xfId="123" xr:uid="{00000000-0005-0000-0000-00009F000000}"/>
    <cellStyle name="Percent 3 2 5 2" xfId="188" xr:uid="{00000000-0005-0000-0000-0000A0000000}"/>
    <cellStyle name="Percent 3 2 6" xfId="155" xr:uid="{00000000-0005-0000-0000-0000A1000000}"/>
    <cellStyle name="Percent 3 2 7" xfId="172" xr:uid="{00000000-0005-0000-0000-0000A2000000}"/>
    <cellStyle name="Percent 3 3" xfId="95" xr:uid="{00000000-0005-0000-0000-0000A3000000}"/>
    <cellStyle name="Percent 3 3 2" xfId="125" xr:uid="{00000000-0005-0000-0000-0000A4000000}"/>
    <cellStyle name="Percent 3 3 2 2" xfId="190" xr:uid="{00000000-0005-0000-0000-0000A5000000}"/>
    <cellStyle name="Percent 3 3 3" xfId="157" xr:uid="{00000000-0005-0000-0000-0000A6000000}"/>
    <cellStyle name="Percent 3 3 4" xfId="174" xr:uid="{00000000-0005-0000-0000-0000A7000000}"/>
    <cellStyle name="Percent 3 4" xfId="99" xr:uid="{00000000-0005-0000-0000-0000A8000000}"/>
    <cellStyle name="Percent 3 4 2" xfId="129" xr:uid="{00000000-0005-0000-0000-0000A9000000}"/>
    <cellStyle name="Percent 3 4 2 2" xfId="194" xr:uid="{00000000-0005-0000-0000-0000AA000000}"/>
    <cellStyle name="Percent 3 4 3" xfId="161" xr:uid="{00000000-0005-0000-0000-0000AB000000}"/>
    <cellStyle name="Percent 3 4 4" xfId="178" xr:uid="{00000000-0005-0000-0000-0000AC000000}"/>
    <cellStyle name="Percent 3 5" xfId="103" xr:uid="{00000000-0005-0000-0000-0000AD000000}"/>
    <cellStyle name="Percent 3 5 2" xfId="133" xr:uid="{00000000-0005-0000-0000-0000AE000000}"/>
    <cellStyle name="Percent 3 5 2 2" xfId="198" xr:uid="{00000000-0005-0000-0000-0000AF000000}"/>
    <cellStyle name="Percent 3 5 3" xfId="165" xr:uid="{00000000-0005-0000-0000-0000B0000000}"/>
    <cellStyle name="Percent 3 5 4" xfId="182" xr:uid="{00000000-0005-0000-0000-0000B1000000}"/>
    <cellStyle name="Percent 3 6" xfId="107" xr:uid="{00000000-0005-0000-0000-0000B2000000}"/>
    <cellStyle name="Percent 3 6 2" xfId="186" xr:uid="{00000000-0005-0000-0000-0000B3000000}"/>
    <cellStyle name="Percent 3 7" xfId="143" xr:uid="{00000000-0005-0000-0000-0000B4000000}"/>
    <cellStyle name="Percent 3 8" xfId="170" xr:uid="{00000000-0005-0000-0000-0000B5000000}"/>
    <cellStyle name="Procentowy" xfId="1" builtinId="5"/>
    <cellStyle name="Style 1" xfId="8" xr:uid="{00000000-0005-0000-0000-0000B7000000}"/>
    <cellStyle name="Suma" xfId="83" xr:uid="{00000000-0005-0000-0000-0000B8000000}"/>
    <cellStyle name="Suma 2" xfId="119" xr:uid="{00000000-0005-0000-0000-0000B9000000}"/>
    <cellStyle name="Suma 3" xfId="139" xr:uid="{00000000-0005-0000-0000-0000BA000000}"/>
    <cellStyle name="Suma 4" xfId="151" xr:uid="{00000000-0005-0000-0000-0000BB000000}"/>
    <cellStyle name="Tekst objaśnienia" xfId="84" xr:uid="{00000000-0005-0000-0000-0000BC000000}"/>
    <cellStyle name="Tekst ostrzeżenia" xfId="85" xr:uid="{00000000-0005-0000-0000-0000BD000000}"/>
    <cellStyle name="Title 2" xfId="86" xr:uid="{00000000-0005-0000-0000-0000BE000000}"/>
    <cellStyle name="Total 2" xfId="87" xr:uid="{00000000-0005-0000-0000-0000BF000000}"/>
    <cellStyle name="Total 2 2" xfId="120" xr:uid="{00000000-0005-0000-0000-0000C0000000}"/>
    <cellStyle name="Total 2 3" xfId="140" xr:uid="{00000000-0005-0000-0000-0000C1000000}"/>
    <cellStyle name="Total 2 4" xfId="152" xr:uid="{00000000-0005-0000-0000-0000C2000000}"/>
    <cellStyle name="Tytuł" xfId="88" xr:uid="{00000000-0005-0000-0000-0000C3000000}"/>
    <cellStyle name="Uwaga" xfId="89" xr:uid="{00000000-0005-0000-0000-0000C4000000}"/>
    <cellStyle name="Uwaga 2" xfId="121" xr:uid="{00000000-0005-0000-0000-0000C5000000}"/>
    <cellStyle name="Uwaga 3" xfId="141" xr:uid="{00000000-0005-0000-0000-0000C6000000}"/>
    <cellStyle name="Uwaga 4" xfId="153" xr:uid="{00000000-0005-0000-0000-0000C7000000}"/>
    <cellStyle name="Warning Text 2" xfId="90" xr:uid="{00000000-0005-0000-0000-0000C8000000}"/>
    <cellStyle name="Złe" xfId="91" xr:uid="{00000000-0005-0000-0000-0000C9000000}"/>
  </cellStyles>
  <dxfs count="4"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9C0006"/>
      <color rgb="FFFFC7CE"/>
      <color rgb="FFC6EFCE"/>
      <color rgb="FF006100"/>
      <color rgb="FFFFE6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pageSetUpPr fitToPage="1"/>
  </sheetPr>
  <dimension ref="A2:J1025"/>
  <sheetViews>
    <sheetView showGridLines="0" tabSelected="1" zoomScale="80" zoomScaleNormal="80" workbookViewId="0">
      <selection activeCell="J12" sqref="J12"/>
    </sheetView>
  </sheetViews>
  <sheetFormatPr defaultRowHeight="12.75" x14ac:dyDescent="0.2"/>
  <cols>
    <col min="1" max="1" width="2.5703125" style="41" customWidth="1"/>
    <col min="2" max="2" width="8.140625" style="41" customWidth="1"/>
    <col min="3" max="3" width="94.28515625" style="41" customWidth="1"/>
    <col min="4" max="4" width="13.28515625" style="41" customWidth="1"/>
    <col min="5" max="5" width="3.42578125" style="41" customWidth="1"/>
    <col min="6" max="6" width="37.7109375" style="41" customWidth="1"/>
    <col min="7" max="7" width="3.42578125" style="41" customWidth="1"/>
    <col min="8" max="8" width="10.7109375" style="41" customWidth="1"/>
    <col min="9" max="9" width="9.140625" style="41"/>
    <col min="10" max="10" width="14.7109375" style="41" customWidth="1"/>
    <col min="11" max="16384" width="9.140625" style="41"/>
  </cols>
  <sheetData>
    <row r="2" spans="2:6" ht="46.5" customHeight="1" x14ac:dyDescent="0.2">
      <c r="B2" s="199" t="s">
        <v>182</v>
      </c>
      <c r="C2" s="199"/>
      <c r="D2" s="199"/>
      <c r="E2" s="199"/>
      <c r="F2" s="199"/>
    </row>
    <row r="3" spans="2:6" ht="12" customHeight="1" x14ac:dyDescent="0.2">
      <c r="B3" s="149" t="s">
        <v>18</v>
      </c>
      <c r="C3" s="150" t="s">
        <v>132</v>
      </c>
      <c r="D3" s="149"/>
      <c r="E3" s="149"/>
      <c r="F3" s="149"/>
    </row>
    <row r="4" spans="2:6" ht="15" customHeight="1" x14ac:dyDescent="0.2">
      <c r="B4" s="105" t="s">
        <v>20</v>
      </c>
      <c r="C4" s="51" t="s">
        <v>133</v>
      </c>
      <c r="D4" s="106"/>
      <c r="E4" s="106"/>
      <c r="F4" s="152"/>
    </row>
    <row r="5" spans="2:6" ht="12" customHeight="1" x14ac:dyDescent="0.2">
      <c r="B5" s="105"/>
      <c r="C5" s="50"/>
      <c r="D5" s="9"/>
      <c r="E5" s="9"/>
      <c r="F5" s="9"/>
    </row>
    <row r="6" spans="2:6" ht="12" customHeight="1" x14ac:dyDescent="0.2">
      <c r="B6" s="149" t="s">
        <v>7</v>
      </c>
      <c r="C6" s="150" t="s">
        <v>134</v>
      </c>
      <c r="D6" s="150"/>
      <c r="E6" s="150"/>
      <c r="F6" s="150"/>
    </row>
    <row r="7" spans="2:6" ht="15" customHeight="1" x14ac:dyDescent="0.2">
      <c r="B7" s="105" t="s">
        <v>71</v>
      </c>
      <c r="C7" s="48" t="s">
        <v>134</v>
      </c>
      <c r="D7" s="8"/>
      <c r="E7" s="8"/>
      <c r="F7" s="152"/>
    </row>
    <row r="8" spans="2:6" ht="12" customHeight="1" x14ac:dyDescent="0.2">
      <c r="B8" s="7"/>
      <c r="C8" s="50"/>
      <c r="D8" s="9"/>
      <c r="E8" s="9"/>
      <c r="F8" s="9"/>
    </row>
    <row r="9" spans="2:6" ht="12" customHeight="1" x14ac:dyDescent="0.2">
      <c r="B9" s="149" t="s">
        <v>8</v>
      </c>
      <c r="C9" s="150" t="s">
        <v>183</v>
      </c>
      <c r="D9" s="150"/>
      <c r="E9" s="150"/>
      <c r="F9" s="150"/>
    </row>
    <row r="10" spans="2:6" ht="15" customHeight="1" x14ac:dyDescent="0.2">
      <c r="B10" s="105" t="s">
        <v>10</v>
      </c>
      <c r="C10" s="48" t="s">
        <v>122</v>
      </c>
      <c r="D10" s="8"/>
      <c r="E10" s="8"/>
      <c r="F10" s="152"/>
    </row>
    <row r="11" spans="2:6" ht="15" customHeight="1" x14ac:dyDescent="0.2">
      <c r="B11" s="105" t="s">
        <v>14</v>
      </c>
      <c r="C11" s="49" t="s">
        <v>64</v>
      </c>
      <c r="D11" s="8"/>
      <c r="E11" s="8"/>
      <c r="F11" s="153"/>
    </row>
    <row r="12" spans="2:6" ht="15" customHeight="1" x14ac:dyDescent="0.2">
      <c r="B12" s="105" t="s">
        <v>15</v>
      </c>
      <c r="C12" s="49" t="s">
        <v>65</v>
      </c>
      <c r="D12" s="8"/>
      <c r="E12" s="8"/>
      <c r="F12" s="154"/>
    </row>
    <row r="13" spans="2:6" ht="15" customHeight="1" x14ac:dyDescent="0.2">
      <c r="B13" s="105" t="s">
        <v>16</v>
      </c>
      <c r="C13" s="48" t="s">
        <v>184</v>
      </c>
      <c r="D13" s="8"/>
      <c r="E13" s="8"/>
      <c r="F13" s="152"/>
    </row>
    <row r="14" spans="2:6" ht="15" customHeight="1" x14ac:dyDescent="0.2">
      <c r="B14" s="105" t="s">
        <v>17</v>
      </c>
      <c r="C14" s="48" t="s">
        <v>135</v>
      </c>
      <c r="D14" s="8"/>
      <c r="E14" s="8"/>
      <c r="F14" s="152"/>
    </row>
    <row r="15" spans="2:6" ht="12" customHeight="1" x14ac:dyDescent="0.2">
      <c r="B15" s="105"/>
      <c r="C15" s="49"/>
      <c r="D15" s="8"/>
      <c r="E15" s="8"/>
      <c r="F15" s="8"/>
    </row>
    <row r="16" spans="2:6" ht="12" customHeight="1" x14ac:dyDescent="0.2">
      <c r="B16" s="149" t="s">
        <v>11</v>
      </c>
      <c r="C16" s="150" t="s">
        <v>206</v>
      </c>
      <c r="D16" s="150"/>
      <c r="E16" s="150"/>
      <c r="F16" s="150"/>
    </row>
    <row r="17" spans="1:10" ht="15" customHeight="1" x14ac:dyDescent="0.2">
      <c r="B17" s="105" t="s">
        <v>13</v>
      </c>
      <c r="C17" s="48" t="s">
        <v>196</v>
      </c>
      <c r="D17" s="8"/>
      <c r="E17" s="8"/>
      <c r="F17" s="152"/>
    </row>
    <row r="18" spans="1:10" ht="12" customHeight="1" x14ac:dyDescent="0.2">
      <c r="B18" s="7"/>
      <c r="C18" s="50"/>
      <c r="D18" s="9"/>
      <c r="E18" s="9"/>
      <c r="F18" s="9"/>
    </row>
    <row r="19" spans="1:10" ht="12" customHeight="1" x14ac:dyDescent="0.2">
      <c r="B19" s="149" t="s">
        <v>32</v>
      </c>
      <c r="C19" s="150" t="s">
        <v>147</v>
      </c>
      <c r="D19" s="150"/>
      <c r="E19" s="150"/>
      <c r="F19" s="150"/>
    </row>
    <row r="20" spans="1:10" ht="15" customHeight="1" x14ac:dyDescent="0.25">
      <c r="A20" s="10"/>
      <c r="B20" s="105" t="s">
        <v>33</v>
      </c>
      <c r="C20" s="51" t="s">
        <v>136</v>
      </c>
      <c r="D20" s="7"/>
      <c r="E20" s="7"/>
      <c r="F20" s="155"/>
    </row>
    <row r="21" spans="1:10" ht="12" customHeight="1" x14ac:dyDescent="0.25">
      <c r="A21" s="10"/>
      <c r="B21" s="7"/>
      <c r="C21" s="7"/>
      <c r="D21" s="7"/>
      <c r="E21" s="7"/>
      <c r="F21" s="7"/>
    </row>
    <row r="22" spans="1:10" ht="12" customHeight="1" x14ac:dyDescent="0.2">
      <c r="A22" s="11"/>
      <c r="B22" s="149" t="s">
        <v>66</v>
      </c>
      <c r="C22" s="151" t="s">
        <v>179</v>
      </c>
      <c r="D22" s="149"/>
      <c r="E22" s="151"/>
      <c r="F22" s="149"/>
    </row>
    <row r="23" spans="1:10" ht="12" customHeight="1" x14ac:dyDescent="0.2">
      <c r="B23" s="107" t="s">
        <v>67</v>
      </c>
      <c r="C23" s="108" t="s">
        <v>2</v>
      </c>
      <c r="D23" s="107"/>
      <c r="E23" s="109"/>
      <c r="F23" s="109"/>
      <c r="J23" s="19"/>
    </row>
    <row r="24" spans="1:10" ht="15" customHeight="1" x14ac:dyDescent="0.2">
      <c r="B24" s="105" t="s">
        <v>129</v>
      </c>
      <c r="C24" s="110" t="s">
        <v>138</v>
      </c>
      <c r="D24" s="105"/>
      <c r="E24" s="111"/>
      <c r="F24" s="112" t="s">
        <v>140</v>
      </c>
    </row>
    <row r="25" spans="1:10" s="20" customFormat="1" ht="15" customHeight="1" x14ac:dyDescent="0.2">
      <c r="B25" s="105" t="s">
        <v>68</v>
      </c>
      <c r="C25" s="112" t="s">
        <v>123</v>
      </c>
      <c r="D25" s="113" t="s">
        <v>141</v>
      </c>
      <c r="E25" s="114"/>
      <c r="F25" s="84">
        <v>15</v>
      </c>
    </row>
    <row r="26" spans="1:10" ht="15" customHeight="1" x14ac:dyDescent="0.2">
      <c r="B26" s="105" t="s">
        <v>130</v>
      </c>
      <c r="C26" s="110" t="s">
        <v>185</v>
      </c>
      <c r="D26" s="105" t="s">
        <v>144</v>
      </c>
      <c r="E26" s="111"/>
      <c r="F26" s="152"/>
    </row>
    <row r="27" spans="1:10" ht="12" customHeight="1" x14ac:dyDescent="0.2">
      <c r="B27" s="105"/>
      <c r="C27" s="110"/>
      <c r="D27" s="105"/>
      <c r="E27" s="111"/>
      <c r="F27" s="115"/>
    </row>
    <row r="28" spans="1:10" ht="12" customHeight="1" x14ac:dyDescent="0.2">
      <c r="B28" s="107" t="s">
        <v>69</v>
      </c>
      <c r="C28" s="108" t="s">
        <v>88</v>
      </c>
      <c r="D28" s="107"/>
      <c r="E28" s="109"/>
      <c r="F28" s="116"/>
    </row>
    <row r="29" spans="1:10" ht="15" customHeight="1" x14ac:dyDescent="0.2">
      <c r="B29" s="105" t="s">
        <v>70</v>
      </c>
      <c r="C29" s="110" t="s">
        <v>5</v>
      </c>
      <c r="D29" s="105" t="s">
        <v>142</v>
      </c>
      <c r="E29" s="111"/>
      <c r="F29" s="197">
        <f>'Nakłady inwestycyjne'!M28</f>
        <v>0</v>
      </c>
      <c r="H29" s="148" t="str">
        <f>IF(OR(F29&gt;'Dane referencyjne'!E4*Dane!F26,Dane!F29&lt;'Dane referencyjne'!D4*Dane!F26),"Wartość wykracza poza dane referencyjne. Konieczne uzasadnienie","")</f>
        <v/>
      </c>
    </row>
    <row r="30" spans="1:10" ht="15" customHeight="1" x14ac:dyDescent="0.2">
      <c r="B30" s="105" t="s">
        <v>72</v>
      </c>
      <c r="C30" s="110" t="s">
        <v>199</v>
      </c>
      <c r="D30" s="105" t="s">
        <v>142</v>
      </c>
      <c r="E30" s="111"/>
      <c r="F30" s="198">
        <f>'Nakłady inwestycyjne'!M29</f>
        <v>0</v>
      </c>
      <c r="H30" s="148"/>
    </row>
    <row r="31" spans="1:10" ht="15" customHeight="1" x14ac:dyDescent="0.2">
      <c r="B31" s="105" t="s">
        <v>198</v>
      </c>
      <c r="C31" s="112" t="s">
        <v>177</v>
      </c>
      <c r="D31" s="105" t="s">
        <v>143</v>
      </c>
      <c r="E31" s="111"/>
      <c r="F31" s="152"/>
      <c r="H31" s="148" t="str">
        <f>IF(OR(F31&gt;'Dane referencyjne'!E5*Dane!F26,F31&lt;'Dane referencyjne'!D5*Dane!F26),"Wartość wykracza poza dane referencyjne. Konieczne uzasadnienie","")</f>
        <v/>
      </c>
    </row>
    <row r="32" spans="1:10" ht="12" customHeight="1" x14ac:dyDescent="0.2">
      <c r="B32" s="110"/>
      <c r="C32" s="11"/>
      <c r="D32" s="117"/>
      <c r="E32" s="11"/>
      <c r="F32" s="11"/>
    </row>
    <row r="33" spans="1:7" ht="30" customHeight="1" x14ac:dyDescent="0.25">
      <c r="B33" s="200" t="s">
        <v>192</v>
      </c>
      <c r="C33" s="200"/>
      <c r="D33" s="200"/>
      <c r="E33" s="200"/>
      <c r="F33" s="200"/>
    </row>
    <row r="34" spans="1:7" ht="6.75" customHeight="1" x14ac:dyDescent="0.2">
      <c r="B34" s="11"/>
      <c r="C34" s="11"/>
      <c r="D34" s="11"/>
      <c r="E34" s="11"/>
      <c r="F34" s="11"/>
    </row>
    <row r="35" spans="1:7" ht="12" customHeight="1" x14ac:dyDescent="0.2">
      <c r="A35" s="11"/>
      <c r="B35" s="149" t="s">
        <v>150</v>
      </c>
      <c r="C35" s="151" t="s">
        <v>75</v>
      </c>
      <c r="D35" s="149"/>
      <c r="E35" s="151"/>
      <c r="F35" s="149"/>
    </row>
    <row r="36" spans="1:7" ht="12.6" customHeight="1" x14ac:dyDescent="0.2">
      <c r="B36" s="107" t="s">
        <v>151</v>
      </c>
      <c r="C36" s="108" t="s">
        <v>3</v>
      </c>
      <c r="D36" s="107"/>
      <c r="E36" s="109"/>
      <c r="F36" s="109"/>
    </row>
    <row r="37" spans="1:7" ht="15" customHeight="1" x14ac:dyDescent="0.2">
      <c r="B37" s="105" t="s">
        <v>152</v>
      </c>
      <c r="C37" s="110" t="s">
        <v>145</v>
      </c>
      <c r="D37" s="105" t="s">
        <v>149</v>
      </c>
      <c r="E37" s="11"/>
      <c r="F37" s="86">
        <f>90.61/89.825</f>
        <v>1.008739215140551</v>
      </c>
      <c r="G37" s="41" t="s">
        <v>191</v>
      </c>
    </row>
    <row r="38" spans="1:7" ht="12.6" customHeight="1" x14ac:dyDescent="0.2">
      <c r="B38" s="110"/>
      <c r="C38" s="11"/>
      <c r="D38" s="117"/>
      <c r="E38" s="11"/>
      <c r="F38" s="11"/>
    </row>
    <row r="39" spans="1:7" ht="12.6" customHeight="1" x14ac:dyDescent="0.2">
      <c r="B39" s="107" t="s">
        <v>153</v>
      </c>
      <c r="C39" s="108" t="s">
        <v>164</v>
      </c>
      <c r="D39" s="107"/>
      <c r="E39" s="109"/>
      <c r="F39" s="116"/>
    </row>
    <row r="40" spans="1:7" ht="15" customHeight="1" x14ac:dyDescent="0.2">
      <c r="B40" s="105" t="s">
        <v>154</v>
      </c>
      <c r="C40" s="118" t="s">
        <v>146</v>
      </c>
      <c r="D40" s="119"/>
      <c r="E40" s="111"/>
      <c r="F40" s="88" t="s">
        <v>163</v>
      </c>
    </row>
    <row r="41" spans="1:7" ht="15" customHeight="1" x14ac:dyDescent="0.2">
      <c r="B41" s="105" t="s">
        <v>155</v>
      </c>
      <c r="C41" s="120" t="s">
        <v>186</v>
      </c>
      <c r="D41" s="117" t="s">
        <v>0</v>
      </c>
      <c r="E41" s="111"/>
      <c r="F41" s="99">
        <v>0.6</v>
      </c>
    </row>
    <row r="42" spans="1:7" ht="15" customHeight="1" x14ac:dyDescent="0.2">
      <c r="B42" s="105" t="s">
        <v>156</v>
      </c>
      <c r="C42" s="112" t="s">
        <v>159</v>
      </c>
      <c r="D42" s="119" t="s">
        <v>0</v>
      </c>
      <c r="E42" s="111"/>
      <c r="F42" s="101">
        <v>0.25</v>
      </c>
    </row>
    <row r="43" spans="1:7" ht="15" customHeight="1" x14ac:dyDescent="0.2">
      <c r="B43" s="105" t="s">
        <v>157</v>
      </c>
      <c r="C43" s="112" t="s">
        <v>160</v>
      </c>
      <c r="D43" s="119"/>
      <c r="E43" s="111"/>
      <c r="F43" s="89">
        <v>21</v>
      </c>
    </row>
    <row r="44" spans="1:7" ht="15" customHeight="1" x14ac:dyDescent="0.2">
      <c r="B44" s="105" t="s">
        <v>158</v>
      </c>
      <c r="C44" s="112" t="s">
        <v>161</v>
      </c>
      <c r="D44" s="119" t="s">
        <v>162</v>
      </c>
      <c r="E44" s="111"/>
      <c r="F44" s="103">
        <v>0.71699999999999997</v>
      </c>
    </row>
    <row r="45" spans="1:7" ht="12.6" customHeight="1" x14ac:dyDescent="0.2">
      <c r="B45" s="110"/>
      <c r="C45" s="11"/>
      <c r="D45" s="117"/>
      <c r="E45" s="11"/>
      <c r="F45" s="11"/>
    </row>
    <row r="46" spans="1:7" ht="12.6" customHeight="1" x14ac:dyDescent="0.2">
      <c r="B46" s="107" t="s">
        <v>165</v>
      </c>
      <c r="C46" s="108" t="s">
        <v>88</v>
      </c>
      <c r="D46" s="107"/>
      <c r="E46" s="109"/>
      <c r="F46" s="116"/>
    </row>
    <row r="47" spans="1:7" ht="15" customHeight="1" x14ac:dyDescent="0.2">
      <c r="B47" s="105" t="s">
        <v>166</v>
      </c>
      <c r="C47" s="110" t="s">
        <v>58</v>
      </c>
      <c r="D47" s="119" t="s">
        <v>0</v>
      </c>
      <c r="E47" s="11"/>
      <c r="F47" s="88">
        <f>IFERROR(WACC!D38,"bd.")</f>
        <v>5.7589701897019063E-2</v>
      </c>
    </row>
    <row r="48" spans="1:7" ht="15" customHeight="1" x14ac:dyDescent="0.2">
      <c r="B48" s="105" t="s">
        <v>167</v>
      </c>
      <c r="C48" s="112" t="s">
        <v>78</v>
      </c>
      <c r="D48" s="117" t="s">
        <v>0</v>
      </c>
      <c r="E48" s="11"/>
      <c r="F48" s="88">
        <v>2.5000000000000001E-2</v>
      </c>
    </row>
    <row r="49" spans="2:6" ht="12.6" customHeight="1" x14ac:dyDescent="0.2">
      <c r="B49" s="39"/>
      <c r="D49" s="40"/>
    </row>
    <row r="50" spans="2:6" ht="12.6" customHeight="1" x14ac:dyDescent="0.2">
      <c r="B50" s="39"/>
      <c r="D50" s="40"/>
    </row>
    <row r="51" spans="2:6" ht="15" customHeight="1" x14ac:dyDescent="0.2">
      <c r="B51" s="87" t="s">
        <v>59</v>
      </c>
      <c r="D51" s="40"/>
    </row>
    <row r="52" spans="2:6" x14ac:dyDescent="0.2">
      <c r="B52" s="202" t="s">
        <v>137</v>
      </c>
      <c r="C52" s="202"/>
      <c r="D52" s="202"/>
      <c r="E52" s="202"/>
    </row>
    <row r="53" spans="2:6" ht="12" customHeight="1" x14ac:dyDescent="0.2">
      <c r="B53" s="201" t="s">
        <v>189</v>
      </c>
      <c r="C53" s="201"/>
      <c r="D53" s="201"/>
      <c r="E53" s="201"/>
    </row>
    <row r="54" spans="2:6" x14ac:dyDescent="0.2">
      <c r="B54" s="203" t="s">
        <v>200</v>
      </c>
      <c r="C54" s="203"/>
      <c r="D54" s="203"/>
      <c r="E54" s="203"/>
      <c r="F54" s="203"/>
    </row>
    <row r="55" spans="2:6" ht="12" customHeight="1" x14ac:dyDescent="0.2"/>
    <row r="56" spans="2:6" ht="12" customHeight="1" x14ac:dyDescent="0.2"/>
    <row r="57" spans="2:6" ht="12" customHeight="1" x14ac:dyDescent="0.2"/>
    <row r="58" spans="2:6" ht="12" customHeight="1" x14ac:dyDescent="0.2"/>
    <row r="59" spans="2:6" ht="12" customHeight="1" x14ac:dyDescent="0.2"/>
    <row r="60" spans="2:6" ht="12" customHeight="1" x14ac:dyDescent="0.2"/>
    <row r="61" spans="2:6" ht="12" customHeight="1" x14ac:dyDescent="0.2"/>
    <row r="62" spans="2:6" ht="12" customHeight="1" x14ac:dyDescent="0.2"/>
    <row r="63" spans="2:6" ht="12" customHeight="1" x14ac:dyDescent="0.2"/>
    <row r="64" spans="2:6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  <row r="71" ht="12" customHeight="1" x14ac:dyDescent="0.2"/>
    <row r="72" ht="12" customHeight="1" x14ac:dyDescent="0.2"/>
    <row r="73" ht="12" customHeight="1" x14ac:dyDescent="0.2"/>
    <row r="74" ht="12" customHeight="1" x14ac:dyDescent="0.2"/>
    <row r="75" ht="12" customHeight="1" x14ac:dyDescent="0.2"/>
    <row r="76" ht="12" customHeight="1" x14ac:dyDescent="0.2"/>
    <row r="77" ht="12" customHeight="1" x14ac:dyDescent="0.2"/>
    <row r="78" ht="12" customHeight="1" x14ac:dyDescent="0.2"/>
    <row r="79" ht="12" customHeight="1" x14ac:dyDescent="0.2"/>
    <row r="80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0" ht="12" customHeight="1" x14ac:dyDescent="0.2"/>
    <row r="141" ht="12" customHeight="1" x14ac:dyDescent="0.2"/>
    <row r="142" ht="12" customHeight="1" x14ac:dyDescent="0.2"/>
    <row r="143" ht="12" customHeight="1" x14ac:dyDescent="0.2"/>
    <row r="144" ht="12" customHeight="1" x14ac:dyDescent="0.2"/>
    <row r="145" ht="12" customHeight="1" x14ac:dyDescent="0.2"/>
    <row r="146" ht="12" customHeight="1" x14ac:dyDescent="0.2"/>
    <row r="147" ht="12" customHeight="1" x14ac:dyDescent="0.2"/>
    <row r="148" ht="12" customHeight="1" x14ac:dyDescent="0.2"/>
    <row r="149" ht="12" customHeight="1" x14ac:dyDescent="0.2"/>
    <row r="150" ht="12" customHeight="1" x14ac:dyDescent="0.2"/>
    <row r="151" ht="12" customHeight="1" x14ac:dyDescent="0.2"/>
    <row r="152" ht="12" customHeight="1" x14ac:dyDescent="0.2"/>
    <row r="153" ht="12" customHeight="1" x14ac:dyDescent="0.2"/>
    <row r="154" ht="12" customHeight="1" x14ac:dyDescent="0.2"/>
    <row r="155" ht="12" customHeight="1" x14ac:dyDescent="0.2"/>
    <row r="156" ht="12" customHeight="1" x14ac:dyDescent="0.2"/>
    <row r="157" ht="12" customHeight="1" x14ac:dyDescent="0.2"/>
    <row r="158" ht="12" customHeight="1" x14ac:dyDescent="0.2"/>
    <row r="159" ht="12" customHeight="1" x14ac:dyDescent="0.2"/>
    <row r="160" ht="12" customHeight="1" x14ac:dyDescent="0.2"/>
    <row r="161" ht="12" customHeight="1" x14ac:dyDescent="0.2"/>
    <row r="162" ht="12" customHeight="1" x14ac:dyDescent="0.2"/>
    <row r="163" ht="12" customHeight="1" x14ac:dyDescent="0.2"/>
    <row r="164" ht="12" customHeight="1" x14ac:dyDescent="0.2"/>
    <row r="165" ht="12" customHeight="1" x14ac:dyDescent="0.2"/>
    <row r="166" ht="12" customHeight="1" x14ac:dyDescent="0.2"/>
    <row r="167" ht="12" customHeight="1" x14ac:dyDescent="0.2"/>
    <row r="168" ht="12" customHeight="1" x14ac:dyDescent="0.2"/>
    <row r="169" ht="12" customHeight="1" x14ac:dyDescent="0.2"/>
    <row r="170" ht="12" customHeight="1" x14ac:dyDescent="0.2"/>
    <row r="171" ht="12" customHeight="1" x14ac:dyDescent="0.2"/>
    <row r="172" ht="12" customHeight="1" x14ac:dyDescent="0.2"/>
    <row r="173" ht="12" customHeight="1" x14ac:dyDescent="0.2"/>
    <row r="174" ht="12" customHeight="1" x14ac:dyDescent="0.2"/>
    <row r="175" ht="12" customHeight="1" x14ac:dyDescent="0.2"/>
    <row r="176" ht="12" customHeight="1" x14ac:dyDescent="0.2"/>
    <row r="177" ht="12" customHeight="1" x14ac:dyDescent="0.2"/>
    <row r="178" ht="12" customHeight="1" x14ac:dyDescent="0.2"/>
    <row r="179" ht="12" customHeight="1" x14ac:dyDescent="0.2"/>
    <row r="180" ht="12" customHeight="1" x14ac:dyDescent="0.2"/>
    <row r="181" ht="12" customHeight="1" x14ac:dyDescent="0.2"/>
    <row r="182" ht="12" customHeight="1" x14ac:dyDescent="0.2"/>
    <row r="183" ht="12" customHeight="1" x14ac:dyDescent="0.2"/>
    <row r="184" ht="12" customHeight="1" x14ac:dyDescent="0.2"/>
    <row r="185" ht="12" customHeight="1" x14ac:dyDescent="0.2"/>
    <row r="186" ht="12" customHeight="1" x14ac:dyDescent="0.2"/>
    <row r="187" ht="12" customHeight="1" x14ac:dyDescent="0.2"/>
    <row r="188" ht="12" customHeight="1" x14ac:dyDescent="0.2"/>
    <row r="189" ht="12" customHeight="1" x14ac:dyDescent="0.2"/>
    <row r="190" ht="12" customHeight="1" x14ac:dyDescent="0.2"/>
    <row r="191" ht="12" customHeight="1" x14ac:dyDescent="0.2"/>
    <row r="192" ht="12" customHeight="1" x14ac:dyDescent="0.2"/>
    <row r="193" ht="12" customHeight="1" x14ac:dyDescent="0.2"/>
    <row r="194" ht="12" customHeight="1" x14ac:dyDescent="0.2"/>
    <row r="195" ht="12" customHeight="1" x14ac:dyDescent="0.2"/>
    <row r="196" ht="12" customHeight="1" x14ac:dyDescent="0.2"/>
    <row r="197" ht="12" customHeight="1" x14ac:dyDescent="0.2"/>
    <row r="198" ht="12" customHeight="1" x14ac:dyDescent="0.2"/>
    <row r="199" ht="12" customHeight="1" x14ac:dyDescent="0.2"/>
    <row r="200" ht="12" customHeight="1" x14ac:dyDescent="0.2"/>
    <row r="201" ht="12" customHeight="1" x14ac:dyDescent="0.2"/>
    <row r="202" ht="12" customHeight="1" x14ac:dyDescent="0.2"/>
    <row r="203" ht="12" customHeight="1" x14ac:dyDescent="0.2"/>
    <row r="204" ht="12" customHeight="1" x14ac:dyDescent="0.2"/>
    <row r="205" ht="12" customHeight="1" x14ac:dyDescent="0.2"/>
    <row r="206" ht="12" customHeight="1" x14ac:dyDescent="0.2"/>
    <row r="207" ht="12" customHeight="1" x14ac:dyDescent="0.2"/>
    <row r="208" ht="12" customHeight="1" x14ac:dyDescent="0.2"/>
    <row r="209" ht="12" customHeight="1" x14ac:dyDescent="0.2"/>
    <row r="210" ht="12" customHeight="1" x14ac:dyDescent="0.2"/>
    <row r="211" ht="12" customHeight="1" x14ac:dyDescent="0.2"/>
    <row r="212" ht="12" customHeight="1" x14ac:dyDescent="0.2"/>
    <row r="213" ht="12" customHeight="1" x14ac:dyDescent="0.2"/>
    <row r="214" ht="12" customHeight="1" x14ac:dyDescent="0.2"/>
    <row r="215" ht="12" customHeight="1" x14ac:dyDescent="0.2"/>
    <row r="216" ht="12" customHeight="1" x14ac:dyDescent="0.2"/>
    <row r="217" ht="12" customHeight="1" x14ac:dyDescent="0.2"/>
    <row r="218" ht="12" customHeight="1" x14ac:dyDescent="0.2"/>
    <row r="219" ht="12" customHeight="1" x14ac:dyDescent="0.2"/>
    <row r="220" ht="12" customHeight="1" x14ac:dyDescent="0.2"/>
    <row r="221" ht="12" customHeight="1" x14ac:dyDescent="0.2"/>
    <row r="222" ht="12" customHeight="1" x14ac:dyDescent="0.2"/>
    <row r="223" ht="12" customHeight="1" x14ac:dyDescent="0.2"/>
    <row r="224" ht="12" customHeight="1" x14ac:dyDescent="0.2"/>
    <row r="225" ht="12" customHeight="1" x14ac:dyDescent="0.2"/>
    <row r="226" ht="12" customHeight="1" x14ac:dyDescent="0.2"/>
    <row r="227" ht="12" customHeight="1" x14ac:dyDescent="0.2"/>
    <row r="228" ht="12" customHeight="1" x14ac:dyDescent="0.2"/>
    <row r="229" ht="12" customHeight="1" x14ac:dyDescent="0.2"/>
    <row r="230" ht="12" customHeight="1" x14ac:dyDescent="0.2"/>
    <row r="231" ht="12" customHeight="1" x14ac:dyDescent="0.2"/>
    <row r="232" ht="12" customHeight="1" x14ac:dyDescent="0.2"/>
    <row r="233" ht="12" customHeight="1" x14ac:dyDescent="0.2"/>
    <row r="234" ht="12" customHeight="1" x14ac:dyDescent="0.2"/>
    <row r="235" ht="12" customHeight="1" x14ac:dyDescent="0.2"/>
    <row r="236" ht="12" customHeight="1" x14ac:dyDescent="0.2"/>
    <row r="237" ht="12" customHeight="1" x14ac:dyDescent="0.2"/>
    <row r="238" ht="12" customHeight="1" x14ac:dyDescent="0.2"/>
    <row r="239" ht="12" customHeight="1" x14ac:dyDescent="0.2"/>
    <row r="240" ht="12" customHeight="1" x14ac:dyDescent="0.2"/>
    <row r="241" ht="12" customHeight="1" x14ac:dyDescent="0.2"/>
    <row r="242" ht="12" customHeight="1" x14ac:dyDescent="0.2"/>
    <row r="243" ht="12" customHeight="1" x14ac:dyDescent="0.2"/>
    <row r="244" ht="12" customHeight="1" x14ac:dyDescent="0.2"/>
    <row r="245" ht="12" customHeight="1" x14ac:dyDescent="0.2"/>
    <row r="246" ht="12" customHeight="1" x14ac:dyDescent="0.2"/>
    <row r="247" ht="12" customHeight="1" x14ac:dyDescent="0.2"/>
    <row r="248" ht="12" customHeight="1" x14ac:dyDescent="0.2"/>
    <row r="249" ht="12" customHeight="1" x14ac:dyDescent="0.2"/>
    <row r="250" ht="12" customHeight="1" x14ac:dyDescent="0.2"/>
    <row r="251" ht="12" customHeight="1" x14ac:dyDescent="0.2"/>
    <row r="252" ht="12" customHeight="1" x14ac:dyDescent="0.2"/>
    <row r="253" ht="12" customHeight="1" x14ac:dyDescent="0.2"/>
    <row r="254" ht="12" customHeight="1" x14ac:dyDescent="0.2"/>
    <row r="255" ht="12" customHeight="1" x14ac:dyDescent="0.2"/>
    <row r="256" ht="12" customHeight="1" x14ac:dyDescent="0.2"/>
    <row r="257" ht="12" customHeight="1" x14ac:dyDescent="0.2"/>
    <row r="258" ht="12" customHeight="1" x14ac:dyDescent="0.2"/>
    <row r="259" ht="12" customHeight="1" x14ac:dyDescent="0.2"/>
    <row r="260" ht="12" customHeight="1" x14ac:dyDescent="0.2"/>
    <row r="261" ht="12" customHeight="1" x14ac:dyDescent="0.2"/>
    <row r="262" ht="12" customHeight="1" x14ac:dyDescent="0.2"/>
    <row r="263" ht="12" customHeight="1" x14ac:dyDescent="0.2"/>
    <row r="264" ht="12" customHeight="1" x14ac:dyDescent="0.2"/>
    <row r="265" ht="12" customHeight="1" x14ac:dyDescent="0.2"/>
    <row r="266" ht="12" customHeight="1" x14ac:dyDescent="0.2"/>
    <row r="267" ht="12" customHeight="1" x14ac:dyDescent="0.2"/>
    <row r="268" ht="12" customHeight="1" x14ac:dyDescent="0.2"/>
    <row r="269" ht="12" customHeight="1" x14ac:dyDescent="0.2"/>
    <row r="270" ht="12" customHeight="1" x14ac:dyDescent="0.2"/>
    <row r="271" ht="12" customHeight="1" x14ac:dyDescent="0.2"/>
    <row r="272" ht="12" customHeight="1" x14ac:dyDescent="0.2"/>
    <row r="273" ht="12" customHeight="1" x14ac:dyDescent="0.2"/>
    <row r="274" ht="12" customHeight="1" x14ac:dyDescent="0.2"/>
    <row r="275" ht="12" customHeight="1" x14ac:dyDescent="0.2"/>
    <row r="276" ht="12" customHeight="1" x14ac:dyDescent="0.2"/>
    <row r="277" ht="12" customHeight="1" x14ac:dyDescent="0.2"/>
    <row r="278" ht="12" customHeight="1" x14ac:dyDescent="0.2"/>
    <row r="279" ht="12" customHeight="1" x14ac:dyDescent="0.2"/>
    <row r="280" ht="12" customHeight="1" x14ac:dyDescent="0.2"/>
    <row r="281" ht="12" customHeight="1" x14ac:dyDescent="0.2"/>
    <row r="282" ht="12" customHeight="1" x14ac:dyDescent="0.2"/>
    <row r="283" ht="12" customHeight="1" x14ac:dyDescent="0.2"/>
    <row r="284" ht="12" customHeight="1" x14ac:dyDescent="0.2"/>
    <row r="285" ht="12" customHeight="1" x14ac:dyDescent="0.2"/>
    <row r="286" ht="12" customHeight="1" x14ac:dyDescent="0.2"/>
    <row r="287" ht="12" customHeight="1" x14ac:dyDescent="0.2"/>
    <row r="288" ht="12" customHeight="1" x14ac:dyDescent="0.2"/>
    <row r="289" ht="12" customHeight="1" x14ac:dyDescent="0.2"/>
    <row r="290" ht="12" customHeight="1" x14ac:dyDescent="0.2"/>
    <row r="291" ht="12" customHeight="1" x14ac:dyDescent="0.2"/>
    <row r="292" ht="12" customHeight="1" x14ac:dyDescent="0.2"/>
    <row r="293" ht="12" customHeight="1" x14ac:dyDescent="0.2"/>
    <row r="294" ht="12" customHeight="1" x14ac:dyDescent="0.2"/>
    <row r="295" ht="12" customHeight="1" x14ac:dyDescent="0.2"/>
    <row r="296" ht="12" customHeight="1" x14ac:dyDescent="0.2"/>
    <row r="297" ht="12" customHeight="1" x14ac:dyDescent="0.2"/>
    <row r="298" ht="12" customHeight="1" x14ac:dyDescent="0.2"/>
    <row r="299" ht="12" customHeight="1" x14ac:dyDescent="0.2"/>
    <row r="300" ht="12" customHeight="1" x14ac:dyDescent="0.2"/>
    <row r="301" ht="12" customHeight="1" x14ac:dyDescent="0.2"/>
    <row r="302" ht="12" customHeight="1" x14ac:dyDescent="0.2"/>
    <row r="303" ht="12" customHeight="1" x14ac:dyDescent="0.2"/>
    <row r="304" ht="12" customHeight="1" x14ac:dyDescent="0.2"/>
    <row r="305" ht="12" customHeight="1" x14ac:dyDescent="0.2"/>
    <row r="306" ht="12" customHeight="1" x14ac:dyDescent="0.2"/>
    <row r="307" ht="12" customHeight="1" x14ac:dyDescent="0.2"/>
    <row r="308" ht="12" customHeight="1" x14ac:dyDescent="0.2"/>
    <row r="309" ht="12" customHeight="1" x14ac:dyDescent="0.2"/>
    <row r="310" ht="12" customHeight="1" x14ac:dyDescent="0.2"/>
    <row r="311" ht="12" customHeight="1" x14ac:dyDescent="0.2"/>
    <row r="312" ht="12" customHeight="1" x14ac:dyDescent="0.2"/>
    <row r="313" ht="12" customHeight="1" x14ac:dyDescent="0.2"/>
    <row r="314" ht="12" customHeight="1" x14ac:dyDescent="0.2"/>
    <row r="315" ht="12" customHeight="1" x14ac:dyDescent="0.2"/>
    <row r="316" ht="12" customHeight="1" x14ac:dyDescent="0.2"/>
    <row r="317" ht="12" customHeight="1" x14ac:dyDescent="0.2"/>
    <row r="318" ht="12" customHeight="1" x14ac:dyDescent="0.2"/>
    <row r="319" ht="12" customHeight="1" x14ac:dyDescent="0.2"/>
    <row r="320" ht="12" customHeight="1" x14ac:dyDescent="0.2"/>
    <row r="321" ht="12" customHeight="1" x14ac:dyDescent="0.2"/>
    <row r="322" ht="12" customHeight="1" x14ac:dyDescent="0.2"/>
    <row r="323" ht="12" customHeight="1" x14ac:dyDescent="0.2"/>
    <row r="324" ht="12" customHeight="1" x14ac:dyDescent="0.2"/>
    <row r="325" ht="12" customHeight="1" x14ac:dyDescent="0.2"/>
    <row r="326" ht="12" customHeight="1" x14ac:dyDescent="0.2"/>
    <row r="327" ht="12" customHeight="1" x14ac:dyDescent="0.2"/>
    <row r="328" ht="12" customHeight="1" x14ac:dyDescent="0.2"/>
    <row r="329" ht="12" customHeight="1" x14ac:dyDescent="0.2"/>
    <row r="330" ht="12" customHeight="1" x14ac:dyDescent="0.2"/>
    <row r="331" ht="12" customHeight="1" x14ac:dyDescent="0.2"/>
    <row r="332" ht="12" customHeight="1" x14ac:dyDescent="0.2"/>
    <row r="333" ht="12" customHeight="1" x14ac:dyDescent="0.2"/>
    <row r="334" ht="12" customHeight="1" x14ac:dyDescent="0.2"/>
    <row r="335" ht="12" customHeight="1" x14ac:dyDescent="0.2"/>
    <row r="336" ht="12" customHeight="1" x14ac:dyDescent="0.2"/>
    <row r="337" ht="12" customHeight="1" x14ac:dyDescent="0.2"/>
    <row r="338" ht="12" customHeight="1" x14ac:dyDescent="0.2"/>
    <row r="339" ht="12" customHeight="1" x14ac:dyDescent="0.2"/>
    <row r="340" ht="12" customHeight="1" x14ac:dyDescent="0.2"/>
    <row r="341" ht="12" customHeight="1" x14ac:dyDescent="0.2"/>
    <row r="342" ht="12" customHeight="1" x14ac:dyDescent="0.2"/>
    <row r="343" ht="12" customHeight="1" x14ac:dyDescent="0.2"/>
    <row r="344" ht="12" customHeight="1" x14ac:dyDescent="0.2"/>
    <row r="345" ht="12" customHeight="1" x14ac:dyDescent="0.2"/>
    <row r="346" ht="12" customHeight="1" x14ac:dyDescent="0.2"/>
    <row r="347" ht="12" customHeight="1" x14ac:dyDescent="0.2"/>
    <row r="348" ht="12" customHeight="1" x14ac:dyDescent="0.2"/>
    <row r="349" ht="12" customHeight="1" x14ac:dyDescent="0.2"/>
    <row r="350" ht="12" customHeight="1" x14ac:dyDescent="0.2"/>
    <row r="351" ht="12" customHeight="1" x14ac:dyDescent="0.2"/>
    <row r="352" ht="12" customHeight="1" x14ac:dyDescent="0.2"/>
    <row r="353" ht="12" customHeight="1" x14ac:dyDescent="0.2"/>
    <row r="354" ht="12" customHeight="1" x14ac:dyDescent="0.2"/>
    <row r="355" ht="12" customHeight="1" x14ac:dyDescent="0.2"/>
    <row r="356" ht="12" customHeight="1" x14ac:dyDescent="0.2"/>
    <row r="357" ht="12" customHeight="1" x14ac:dyDescent="0.2"/>
    <row r="358" ht="12" customHeight="1" x14ac:dyDescent="0.2"/>
    <row r="359" ht="12" customHeight="1" x14ac:dyDescent="0.2"/>
    <row r="360" ht="12" customHeight="1" x14ac:dyDescent="0.2"/>
    <row r="361" ht="12" customHeight="1" x14ac:dyDescent="0.2"/>
    <row r="362" ht="12" customHeight="1" x14ac:dyDescent="0.2"/>
    <row r="363" ht="12" customHeight="1" x14ac:dyDescent="0.2"/>
    <row r="364" ht="12" customHeight="1" x14ac:dyDescent="0.2"/>
    <row r="365" ht="12" customHeight="1" x14ac:dyDescent="0.2"/>
    <row r="366" ht="12" customHeight="1" x14ac:dyDescent="0.2"/>
    <row r="367" ht="12" customHeight="1" x14ac:dyDescent="0.2"/>
    <row r="368" ht="12" customHeight="1" x14ac:dyDescent="0.2"/>
    <row r="369" ht="12" customHeight="1" x14ac:dyDescent="0.2"/>
    <row r="370" ht="12" customHeight="1" x14ac:dyDescent="0.2"/>
    <row r="371" ht="12" customHeight="1" x14ac:dyDescent="0.2"/>
    <row r="372" ht="12" customHeight="1" x14ac:dyDescent="0.2"/>
    <row r="373" ht="12" customHeight="1" x14ac:dyDescent="0.2"/>
    <row r="374" ht="12" customHeight="1" x14ac:dyDescent="0.2"/>
    <row r="375" ht="12" customHeight="1" x14ac:dyDescent="0.2"/>
    <row r="376" ht="12" customHeight="1" x14ac:dyDescent="0.2"/>
    <row r="377" ht="12" customHeight="1" x14ac:dyDescent="0.2"/>
    <row r="378" ht="12" customHeight="1" x14ac:dyDescent="0.2"/>
    <row r="379" ht="12" customHeight="1" x14ac:dyDescent="0.2"/>
    <row r="380" ht="12" customHeight="1" x14ac:dyDescent="0.2"/>
    <row r="381" ht="12" customHeight="1" x14ac:dyDescent="0.2"/>
    <row r="382" ht="12" customHeight="1" x14ac:dyDescent="0.2"/>
    <row r="383" ht="12" customHeight="1" x14ac:dyDescent="0.2"/>
    <row r="384" ht="12" customHeight="1" x14ac:dyDescent="0.2"/>
    <row r="385" ht="12" customHeight="1" x14ac:dyDescent="0.2"/>
    <row r="386" ht="12" customHeight="1" x14ac:dyDescent="0.2"/>
    <row r="387" ht="12" customHeight="1" x14ac:dyDescent="0.2"/>
    <row r="388" ht="12" customHeight="1" x14ac:dyDescent="0.2"/>
    <row r="389" ht="12" customHeight="1" x14ac:dyDescent="0.2"/>
    <row r="390" ht="12" customHeight="1" x14ac:dyDescent="0.2"/>
    <row r="391" ht="12" customHeight="1" x14ac:dyDescent="0.2"/>
    <row r="392" ht="12" customHeight="1" x14ac:dyDescent="0.2"/>
    <row r="393" ht="12" customHeight="1" x14ac:dyDescent="0.2"/>
    <row r="394" ht="12" customHeight="1" x14ac:dyDescent="0.2"/>
    <row r="395" ht="12" customHeight="1" x14ac:dyDescent="0.2"/>
    <row r="396" ht="12" customHeight="1" x14ac:dyDescent="0.2"/>
    <row r="397" ht="12" customHeight="1" x14ac:dyDescent="0.2"/>
    <row r="398" ht="12" customHeight="1" x14ac:dyDescent="0.2"/>
    <row r="399" ht="12" customHeight="1" x14ac:dyDescent="0.2"/>
    <row r="400" ht="12" customHeight="1" x14ac:dyDescent="0.2"/>
    <row r="401" ht="12" customHeight="1" x14ac:dyDescent="0.2"/>
    <row r="402" ht="12" customHeight="1" x14ac:dyDescent="0.2"/>
    <row r="403" ht="12" customHeight="1" x14ac:dyDescent="0.2"/>
    <row r="404" ht="12" customHeight="1" x14ac:dyDescent="0.2"/>
    <row r="405" ht="12" customHeight="1" x14ac:dyDescent="0.2"/>
    <row r="406" ht="12" customHeight="1" x14ac:dyDescent="0.2"/>
    <row r="407" ht="12" customHeight="1" x14ac:dyDescent="0.2"/>
    <row r="408" ht="12" customHeight="1" x14ac:dyDescent="0.2"/>
    <row r="409" ht="12" customHeight="1" x14ac:dyDescent="0.2"/>
    <row r="410" ht="12" customHeight="1" x14ac:dyDescent="0.2"/>
    <row r="411" ht="12" customHeight="1" x14ac:dyDescent="0.2"/>
    <row r="412" ht="12" customHeight="1" x14ac:dyDescent="0.2"/>
    <row r="413" ht="12" customHeight="1" x14ac:dyDescent="0.2"/>
    <row r="414" ht="12" customHeight="1" x14ac:dyDescent="0.2"/>
    <row r="415" ht="12" customHeight="1" x14ac:dyDescent="0.2"/>
    <row r="416" ht="12" customHeight="1" x14ac:dyDescent="0.2"/>
    <row r="417" ht="12" customHeight="1" x14ac:dyDescent="0.2"/>
    <row r="418" ht="12" customHeight="1" x14ac:dyDescent="0.2"/>
    <row r="419" ht="12" customHeight="1" x14ac:dyDescent="0.2"/>
    <row r="420" ht="12" customHeight="1" x14ac:dyDescent="0.2"/>
    <row r="421" ht="12" customHeight="1" x14ac:dyDescent="0.2"/>
    <row r="422" ht="12" customHeight="1" x14ac:dyDescent="0.2"/>
    <row r="423" ht="12" customHeight="1" x14ac:dyDescent="0.2"/>
    <row r="424" ht="12" customHeight="1" x14ac:dyDescent="0.2"/>
    <row r="425" ht="12" customHeight="1" x14ac:dyDescent="0.2"/>
    <row r="426" ht="12" customHeight="1" x14ac:dyDescent="0.2"/>
    <row r="427" ht="12" customHeight="1" x14ac:dyDescent="0.2"/>
    <row r="428" ht="12" customHeight="1" x14ac:dyDescent="0.2"/>
    <row r="429" ht="12" customHeight="1" x14ac:dyDescent="0.2"/>
    <row r="430" ht="12" customHeight="1" x14ac:dyDescent="0.2"/>
    <row r="431" ht="12" customHeight="1" x14ac:dyDescent="0.2"/>
    <row r="432" ht="12" customHeight="1" x14ac:dyDescent="0.2"/>
    <row r="433" ht="12" customHeight="1" x14ac:dyDescent="0.2"/>
    <row r="434" ht="12" customHeight="1" x14ac:dyDescent="0.2"/>
    <row r="435" ht="12" customHeight="1" x14ac:dyDescent="0.2"/>
    <row r="436" ht="12" customHeight="1" x14ac:dyDescent="0.2"/>
    <row r="437" ht="12" customHeight="1" x14ac:dyDescent="0.2"/>
    <row r="438" ht="12" customHeight="1" x14ac:dyDescent="0.2"/>
    <row r="439" ht="12" customHeight="1" x14ac:dyDescent="0.2"/>
    <row r="440" ht="12" customHeight="1" x14ac:dyDescent="0.2"/>
    <row r="441" ht="12" customHeight="1" x14ac:dyDescent="0.2"/>
    <row r="442" ht="12" customHeight="1" x14ac:dyDescent="0.2"/>
    <row r="443" ht="12" customHeight="1" x14ac:dyDescent="0.2"/>
    <row r="444" ht="12" customHeight="1" x14ac:dyDescent="0.2"/>
    <row r="445" ht="12" customHeight="1" x14ac:dyDescent="0.2"/>
    <row r="446" ht="12" customHeight="1" x14ac:dyDescent="0.2"/>
    <row r="447" ht="12" customHeight="1" x14ac:dyDescent="0.2"/>
    <row r="448" ht="12" customHeight="1" x14ac:dyDescent="0.2"/>
    <row r="449" ht="12" customHeight="1" x14ac:dyDescent="0.2"/>
    <row r="450" ht="12" customHeight="1" x14ac:dyDescent="0.2"/>
    <row r="451" ht="12" customHeight="1" x14ac:dyDescent="0.2"/>
    <row r="452" ht="12" customHeight="1" x14ac:dyDescent="0.2"/>
    <row r="453" ht="12" customHeight="1" x14ac:dyDescent="0.2"/>
    <row r="454" ht="12" customHeight="1" x14ac:dyDescent="0.2"/>
    <row r="455" ht="12" customHeight="1" x14ac:dyDescent="0.2"/>
    <row r="456" ht="12" customHeight="1" x14ac:dyDescent="0.2"/>
    <row r="457" ht="12" customHeight="1" x14ac:dyDescent="0.2"/>
    <row r="458" ht="12" customHeight="1" x14ac:dyDescent="0.2"/>
    <row r="459" ht="12" customHeight="1" x14ac:dyDescent="0.2"/>
    <row r="460" ht="12" customHeight="1" x14ac:dyDescent="0.2"/>
    <row r="461" ht="12" customHeight="1" x14ac:dyDescent="0.2"/>
    <row r="462" ht="12" customHeight="1" x14ac:dyDescent="0.2"/>
    <row r="463" ht="12" customHeight="1" x14ac:dyDescent="0.2"/>
    <row r="464" ht="12" customHeight="1" x14ac:dyDescent="0.2"/>
    <row r="465" ht="12" customHeight="1" x14ac:dyDescent="0.2"/>
    <row r="466" ht="12" customHeight="1" x14ac:dyDescent="0.2"/>
    <row r="467" ht="12" customHeight="1" x14ac:dyDescent="0.2"/>
    <row r="468" ht="12" customHeight="1" x14ac:dyDescent="0.2"/>
    <row r="469" ht="12" customHeight="1" x14ac:dyDescent="0.2"/>
    <row r="470" ht="12" customHeight="1" x14ac:dyDescent="0.2"/>
    <row r="471" ht="12" customHeight="1" x14ac:dyDescent="0.2"/>
    <row r="472" ht="12" customHeight="1" x14ac:dyDescent="0.2"/>
    <row r="473" ht="12" customHeight="1" x14ac:dyDescent="0.2"/>
    <row r="474" ht="12" customHeight="1" x14ac:dyDescent="0.2"/>
    <row r="475" ht="12" customHeight="1" x14ac:dyDescent="0.2"/>
    <row r="476" ht="12" customHeight="1" x14ac:dyDescent="0.2"/>
    <row r="477" ht="12" customHeight="1" x14ac:dyDescent="0.2"/>
    <row r="478" ht="12" customHeight="1" x14ac:dyDescent="0.2"/>
    <row r="479" ht="12" customHeight="1" x14ac:dyDescent="0.2"/>
    <row r="480" ht="12" customHeight="1" x14ac:dyDescent="0.2"/>
    <row r="481" ht="12" customHeight="1" x14ac:dyDescent="0.2"/>
    <row r="482" ht="12" customHeight="1" x14ac:dyDescent="0.2"/>
    <row r="483" ht="12" customHeight="1" x14ac:dyDescent="0.2"/>
    <row r="484" ht="12" customHeight="1" x14ac:dyDescent="0.2"/>
    <row r="485" ht="12" customHeight="1" x14ac:dyDescent="0.2"/>
    <row r="486" ht="12" customHeight="1" x14ac:dyDescent="0.2"/>
    <row r="487" ht="12" customHeight="1" x14ac:dyDescent="0.2"/>
    <row r="488" ht="12" customHeight="1" x14ac:dyDescent="0.2"/>
    <row r="489" ht="12" customHeight="1" x14ac:dyDescent="0.2"/>
    <row r="490" ht="12" customHeight="1" x14ac:dyDescent="0.2"/>
    <row r="491" ht="12" customHeight="1" x14ac:dyDescent="0.2"/>
    <row r="492" ht="12" customHeight="1" x14ac:dyDescent="0.2"/>
    <row r="493" ht="12" customHeight="1" x14ac:dyDescent="0.2"/>
    <row r="494" ht="12" customHeight="1" x14ac:dyDescent="0.2"/>
    <row r="495" ht="12" customHeight="1" x14ac:dyDescent="0.2"/>
    <row r="496" ht="12" customHeight="1" x14ac:dyDescent="0.2"/>
    <row r="497" ht="12" customHeight="1" x14ac:dyDescent="0.2"/>
    <row r="498" ht="12" customHeight="1" x14ac:dyDescent="0.2"/>
    <row r="499" ht="12" customHeight="1" x14ac:dyDescent="0.2"/>
    <row r="500" ht="12" customHeight="1" x14ac:dyDescent="0.2"/>
    <row r="501" ht="12" customHeight="1" x14ac:dyDescent="0.2"/>
    <row r="502" ht="12" customHeight="1" x14ac:dyDescent="0.2"/>
    <row r="503" ht="12" customHeight="1" x14ac:dyDescent="0.2"/>
    <row r="504" ht="12" customHeight="1" x14ac:dyDescent="0.2"/>
    <row r="505" ht="12" customHeight="1" x14ac:dyDescent="0.2"/>
    <row r="506" ht="12" customHeight="1" x14ac:dyDescent="0.2"/>
    <row r="507" ht="12" customHeight="1" x14ac:dyDescent="0.2"/>
    <row r="508" ht="12" customHeight="1" x14ac:dyDescent="0.2"/>
    <row r="509" ht="12" customHeight="1" x14ac:dyDescent="0.2"/>
    <row r="510" ht="12" customHeight="1" x14ac:dyDescent="0.2"/>
    <row r="511" ht="12" customHeight="1" x14ac:dyDescent="0.2"/>
    <row r="512" ht="12" customHeight="1" x14ac:dyDescent="0.2"/>
    <row r="513" ht="12" customHeight="1" x14ac:dyDescent="0.2"/>
    <row r="514" ht="12" customHeight="1" x14ac:dyDescent="0.2"/>
    <row r="515" ht="12" customHeight="1" x14ac:dyDescent="0.2"/>
    <row r="516" ht="12" customHeight="1" x14ac:dyDescent="0.2"/>
    <row r="517" ht="12" customHeight="1" x14ac:dyDescent="0.2"/>
    <row r="518" ht="12" customHeight="1" x14ac:dyDescent="0.2"/>
    <row r="519" ht="12" customHeight="1" x14ac:dyDescent="0.2"/>
    <row r="520" ht="12" customHeight="1" x14ac:dyDescent="0.2"/>
    <row r="521" ht="12" customHeight="1" x14ac:dyDescent="0.2"/>
    <row r="522" ht="12" customHeight="1" x14ac:dyDescent="0.2"/>
    <row r="523" ht="12" customHeight="1" x14ac:dyDescent="0.2"/>
    <row r="524" ht="12" customHeight="1" x14ac:dyDescent="0.2"/>
    <row r="525" ht="12" customHeight="1" x14ac:dyDescent="0.2"/>
    <row r="526" ht="12" customHeight="1" x14ac:dyDescent="0.2"/>
    <row r="527" ht="12" customHeight="1" x14ac:dyDescent="0.2"/>
    <row r="528" ht="12" customHeight="1" x14ac:dyDescent="0.2"/>
    <row r="529" ht="12" customHeight="1" x14ac:dyDescent="0.2"/>
    <row r="530" ht="12" customHeight="1" x14ac:dyDescent="0.2"/>
    <row r="531" ht="12" customHeight="1" x14ac:dyDescent="0.2"/>
    <row r="532" ht="12" customHeight="1" x14ac:dyDescent="0.2"/>
    <row r="533" ht="12" customHeight="1" x14ac:dyDescent="0.2"/>
    <row r="534" ht="12" customHeight="1" x14ac:dyDescent="0.2"/>
    <row r="535" ht="12" customHeight="1" x14ac:dyDescent="0.2"/>
    <row r="536" ht="12" customHeight="1" x14ac:dyDescent="0.2"/>
    <row r="537" ht="12" customHeight="1" x14ac:dyDescent="0.2"/>
    <row r="538" ht="12" customHeight="1" x14ac:dyDescent="0.2"/>
    <row r="539" ht="12" customHeight="1" x14ac:dyDescent="0.2"/>
    <row r="540" ht="12" customHeight="1" x14ac:dyDescent="0.2"/>
    <row r="541" ht="12" customHeight="1" x14ac:dyDescent="0.2"/>
    <row r="542" ht="12" customHeight="1" x14ac:dyDescent="0.2"/>
    <row r="543" ht="12" customHeight="1" x14ac:dyDescent="0.2"/>
    <row r="544" ht="12" customHeight="1" x14ac:dyDescent="0.2"/>
    <row r="545" ht="12" customHeight="1" x14ac:dyDescent="0.2"/>
    <row r="546" ht="12" customHeight="1" x14ac:dyDescent="0.2"/>
    <row r="547" ht="12" customHeight="1" x14ac:dyDescent="0.2"/>
    <row r="548" ht="12" customHeight="1" x14ac:dyDescent="0.2"/>
    <row r="549" ht="12" customHeight="1" x14ac:dyDescent="0.2"/>
    <row r="550" ht="12" customHeight="1" x14ac:dyDescent="0.2"/>
    <row r="551" ht="12" customHeight="1" x14ac:dyDescent="0.2"/>
    <row r="552" ht="12" customHeight="1" x14ac:dyDescent="0.2"/>
    <row r="553" ht="12" customHeight="1" x14ac:dyDescent="0.2"/>
    <row r="554" ht="12" customHeight="1" x14ac:dyDescent="0.2"/>
    <row r="555" ht="12" customHeight="1" x14ac:dyDescent="0.2"/>
    <row r="556" ht="12" customHeight="1" x14ac:dyDescent="0.2"/>
    <row r="557" ht="12" customHeight="1" x14ac:dyDescent="0.2"/>
    <row r="558" ht="12" customHeight="1" x14ac:dyDescent="0.2"/>
    <row r="559" ht="12" customHeight="1" x14ac:dyDescent="0.2"/>
    <row r="560" ht="12" customHeight="1" x14ac:dyDescent="0.2"/>
    <row r="561" ht="12" customHeight="1" x14ac:dyDescent="0.2"/>
    <row r="562" ht="12" customHeight="1" x14ac:dyDescent="0.2"/>
    <row r="563" ht="12" customHeight="1" x14ac:dyDescent="0.2"/>
    <row r="564" ht="12" customHeight="1" x14ac:dyDescent="0.2"/>
    <row r="565" ht="12" customHeight="1" x14ac:dyDescent="0.2"/>
    <row r="566" ht="12" customHeight="1" x14ac:dyDescent="0.2"/>
    <row r="567" ht="12" customHeight="1" x14ac:dyDescent="0.2"/>
    <row r="568" ht="12" customHeight="1" x14ac:dyDescent="0.2"/>
    <row r="569" ht="12" customHeight="1" x14ac:dyDescent="0.2"/>
    <row r="570" ht="12" customHeight="1" x14ac:dyDescent="0.2"/>
    <row r="571" ht="12" customHeight="1" x14ac:dyDescent="0.2"/>
    <row r="572" ht="12" customHeight="1" x14ac:dyDescent="0.2"/>
    <row r="573" ht="12" customHeight="1" x14ac:dyDescent="0.2"/>
    <row r="574" ht="12" customHeight="1" x14ac:dyDescent="0.2"/>
    <row r="575" ht="12" customHeight="1" x14ac:dyDescent="0.2"/>
    <row r="576" ht="12" customHeight="1" x14ac:dyDescent="0.2"/>
    <row r="577" ht="12" customHeight="1" x14ac:dyDescent="0.2"/>
    <row r="578" ht="12" customHeight="1" x14ac:dyDescent="0.2"/>
    <row r="579" ht="12" customHeight="1" x14ac:dyDescent="0.2"/>
    <row r="580" ht="12" customHeight="1" x14ac:dyDescent="0.2"/>
    <row r="581" ht="12" customHeight="1" x14ac:dyDescent="0.2"/>
    <row r="582" ht="12" customHeight="1" x14ac:dyDescent="0.2"/>
    <row r="583" ht="12" customHeight="1" x14ac:dyDescent="0.2"/>
    <row r="584" ht="12" customHeight="1" x14ac:dyDescent="0.2"/>
    <row r="585" ht="12" customHeight="1" x14ac:dyDescent="0.2"/>
    <row r="586" ht="12" customHeight="1" x14ac:dyDescent="0.2"/>
    <row r="587" ht="12" customHeight="1" x14ac:dyDescent="0.2"/>
    <row r="588" ht="12" customHeight="1" x14ac:dyDescent="0.2"/>
    <row r="589" ht="12" customHeight="1" x14ac:dyDescent="0.2"/>
    <row r="590" ht="12" customHeight="1" x14ac:dyDescent="0.2"/>
    <row r="591" ht="12" customHeight="1" x14ac:dyDescent="0.2"/>
    <row r="592" ht="12" customHeight="1" x14ac:dyDescent="0.2"/>
    <row r="593" ht="12" customHeight="1" x14ac:dyDescent="0.2"/>
    <row r="594" ht="12" customHeight="1" x14ac:dyDescent="0.2"/>
    <row r="595" ht="12" customHeight="1" x14ac:dyDescent="0.2"/>
    <row r="596" ht="12" customHeight="1" x14ac:dyDescent="0.2"/>
    <row r="597" ht="12" customHeight="1" x14ac:dyDescent="0.2"/>
    <row r="598" ht="12" customHeight="1" x14ac:dyDescent="0.2"/>
    <row r="599" ht="12" customHeight="1" x14ac:dyDescent="0.2"/>
    <row r="600" ht="12" customHeight="1" x14ac:dyDescent="0.2"/>
    <row r="601" ht="12" customHeight="1" x14ac:dyDescent="0.2"/>
    <row r="602" ht="12" customHeight="1" x14ac:dyDescent="0.2"/>
    <row r="603" ht="12" customHeight="1" x14ac:dyDescent="0.2"/>
    <row r="604" ht="12" customHeight="1" x14ac:dyDescent="0.2"/>
    <row r="605" ht="12" customHeight="1" x14ac:dyDescent="0.2"/>
    <row r="606" ht="12" customHeight="1" x14ac:dyDescent="0.2"/>
    <row r="607" ht="12" customHeight="1" x14ac:dyDescent="0.2"/>
    <row r="608" ht="12" customHeight="1" x14ac:dyDescent="0.2"/>
    <row r="609" ht="12" customHeight="1" x14ac:dyDescent="0.2"/>
    <row r="610" ht="12" customHeight="1" x14ac:dyDescent="0.2"/>
    <row r="611" ht="12" customHeight="1" x14ac:dyDescent="0.2"/>
    <row r="612" ht="12" customHeight="1" x14ac:dyDescent="0.2"/>
    <row r="613" ht="12" customHeight="1" x14ac:dyDescent="0.2"/>
    <row r="614" ht="12" customHeight="1" x14ac:dyDescent="0.2"/>
    <row r="615" ht="12" customHeight="1" x14ac:dyDescent="0.2"/>
    <row r="616" ht="12" customHeight="1" x14ac:dyDescent="0.2"/>
    <row r="617" ht="12" customHeight="1" x14ac:dyDescent="0.2"/>
    <row r="618" ht="12" customHeight="1" x14ac:dyDescent="0.2"/>
    <row r="619" ht="12" customHeight="1" x14ac:dyDescent="0.2"/>
    <row r="620" ht="12" customHeight="1" x14ac:dyDescent="0.2"/>
    <row r="621" ht="12" customHeight="1" x14ac:dyDescent="0.2"/>
    <row r="622" ht="12" customHeight="1" x14ac:dyDescent="0.2"/>
    <row r="623" ht="12" customHeight="1" x14ac:dyDescent="0.2"/>
    <row r="624" ht="12" customHeight="1" x14ac:dyDescent="0.2"/>
    <row r="625" ht="12" customHeight="1" x14ac:dyDescent="0.2"/>
    <row r="626" ht="12" customHeight="1" x14ac:dyDescent="0.2"/>
    <row r="627" ht="12" customHeight="1" x14ac:dyDescent="0.2"/>
    <row r="628" ht="12" customHeight="1" x14ac:dyDescent="0.2"/>
    <row r="629" ht="12" customHeight="1" x14ac:dyDescent="0.2"/>
    <row r="630" ht="12" customHeight="1" x14ac:dyDescent="0.2"/>
    <row r="631" ht="12" customHeight="1" x14ac:dyDescent="0.2"/>
    <row r="632" ht="12" customHeight="1" x14ac:dyDescent="0.2"/>
    <row r="633" ht="12" customHeight="1" x14ac:dyDescent="0.2"/>
    <row r="634" ht="12" customHeight="1" x14ac:dyDescent="0.2"/>
    <row r="635" ht="12" customHeight="1" x14ac:dyDescent="0.2"/>
    <row r="636" ht="12" customHeight="1" x14ac:dyDescent="0.2"/>
    <row r="637" ht="12" customHeight="1" x14ac:dyDescent="0.2"/>
    <row r="638" ht="12" customHeight="1" x14ac:dyDescent="0.2"/>
    <row r="639" ht="12" customHeight="1" x14ac:dyDescent="0.2"/>
    <row r="640" ht="12" customHeight="1" x14ac:dyDescent="0.2"/>
    <row r="641" ht="12" customHeight="1" x14ac:dyDescent="0.2"/>
    <row r="642" ht="12" customHeight="1" x14ac:dyDescent="0.2"/>
    <row r="643" ht="12" customHeight="1" x14ac:dyDescent="0.2"/>
    <row r="644" ht="12" customHeight="1" x14ac:dyDescent="0.2"/>
    <row r="645" ht="12" customHeight="1" x14ac:dyDescent="0.2"/>
    <row r="646" ht="12" customHeight="1" x14ac:dyDescent="0.2"/>
    <row r="647" ht="12" customHeight="1" x14ac:dyDescent="0.2"/>
    <row r="648" ht="12" customHeight="1" x14ac:dyDescent="0.2"/>
    <row r="649" ht="12" customHeight="1" x14ac:dyDescent="0.2"/>
    <row r="650" ht="12" customHeight="1" x14ac:dyDescent="0.2"/>
    <row r="651" ht="12" customHeight="1" x14ac:dyDescent="0.2"/>
    <row r="652" ht="12" customHeight="1" x14ac:dyDescent="0.2"/>
    <row r="653" ht="12" customHeight="1" x14ac:dyDescent="0.2"/>
    <row r="654" ht="12" customHeight="1" x14ac:dyDescent="0.2"/>
    <row r="655" ht="12" customHeight="1" x14ac:dyDescent="0.2"/>
    <row r="656" ht="12" customHeight="1" x14ac:dyDescent="0.2"/>
    <row r="657" ht="12" customHeight="1" x14ac:dyDescent="0.2"/>
    <row r="658" ht="12" customHeight="1" x14ac:dyDescent="0.2"/>
    <row r="659" ht="12" customHeight="1" x14ac:dyDescent="0.2"/>
    <row r="660" ht="12" customHeight="1" x14ac:dyDescent="0.2"/>
    <row r="661" ht="12" customHeight="1" x14ac:dyDescent="0.2"/>
    <row r="662" ht="12" customHeight="1" x14ac:dyDescent="0.2"/>
    <row r="663" ht="12" customHeight="1" x14ac:dyDescent="0.2"/>
    <row r="664" ht="12" customHeight="1" x14ac:dyDescent="0.2"/>
    <row r="665" ht="12" customHeight="1" x14ac:dyDescent="0.2"/>
    <row r="666" ht="12" customHeight="1" x14ac:dyDescent="0.2"/>
    <row r="667" ht="12" customHeight="1" x14ac:dyDescent="0.2"/>
    <row r="668" ht="12" customHeight="1" x14ac:dyDescent="0.2"/>
    <row r="669" ht="12" customHeight="1" x14ac:dyDescent="0.2"/>
    <row r="670" ht="12" customHeight="1" x14ac:dyDescent="0.2"/>
    <row r="671" ht="12" customHeight="1" x14ac:dyDescent="0.2"/>
    <row r="672" ht="12" customHeight="1" x14ac:dyDescent="0.2"/>
    <row r="673" ht="12" customHeight="1" x14ac:dyDescent="0.2"/>
    <row r="674" ht="12" customHeight="1" x14ac:dyDescent="0.2"/>
    <row r="675" ht="12" customHeight="1" x14ac:dyDescent="0.2"/>
    <row r="676" ht="12" customHeight="1" x14ac:dyDescent="0.2"/>
    <row r="677" ht="12" customHeight="1" x14ac:dyDescent="0.2"/>
    <row r="678" ht="12" customHeight="1" x14ac:dyDescent="0.2"/>
    <row r="679" ht="12" customHeight="1" x14ac:dyDescent="0.2"/>
    <row r="680" ht="12" customHeight="1" x14ac:dyDescent="0.2"/>
    <row r="681" ht="12" customHeight="1" x14ac:dyDescent="0.2"/>
    <row r="682" ht="12" customHeight="1" x14ac:dyDescent="0.2"/>
    <row r="683" ht="12" customHeight="1" x14ac:dyDescent="0.2"/>
    <row r="684" ht="12" customHeight="1" x14ac:dyDescent="0.2"/>
    <row r="685" ht="12" customHeight="1" x14ac:dyDescent="0.2"/>
    <row r="686" ht="12" customHeight="1" x14ac:dyDescent="0.2"/>
    <row r="687" ht="12" customHeight="1" x14ac:dyDescent="0.2"/>
    <row r="688" ht="12" customHeight="1" x14ac:dyDescent="0.2"/>
    <row r="689" ht="12" customHeight="1" x14ac:dyDescent="0.2"/>
    <row r="690" ht="12" customHeight="1" x14ac:dyDescent="0.2"/>
    <row r="691" ht="12" customHeight="1" x14ac:dyDescent="0.2"/>
    <row r="692" ht="12" customHeight="1" x14ac:dyDescent="0.2"/>
    <row r="693" ht="12" customHeight="1" x14ac:dyDescent="0.2"/>
    <row r="694" ht="12" customHeight="1" x14ac:dyDescent="0.2"/>
    <row r="695" ht="12" customHeight="1" x14ac:dyDescent="0.2"/>
    <row r="696" ht="12" customHeight="1" x14ac:dyDescent="0.2"/>
    <row r="697" ht="12" customHeight="1" x14ac:dyDescent="0.2"/>
    <row r="698" ht="12" customHeight="1" x14ac:dyDescent="0.2"/>
    <row r="699" ht="12" customHeight="1" x14ac:dyDescent="0.2"/>
    <row r="700" ht="12" customHeight="1" x14ac:dyDescent="0.2"/>
    <row r="701" ht="12" customHeight="1" x14ac:dyDescent="0.2"/>
    <row r="702" ht="12" customHeight="1" x14ac:dyDescent="0.2"/>
    <row r="703" ht="12" customHeight="1" x14ac:dyDescent="0.2"/>
    <row r="704" ht="12" customHeight="1" x14ac:dyDescent="0.2"/>
    <row r="705" ht="12" customHeight="1" x14ac:dyDescent="0.2"/>
    <row r="706" ht="12" customHeight="1" x14ac:dyDescent="0.2"/>
    <row r="707" ht="12" customHeight="1" x14ac:dyDescent="0.2"/>
    <row r="708" ht="12" customHeight="1" x14ac:dyDescent="0.2"/>
    <row r="709" ht="12" customHeight="1" x14ac:dyDescent="0.2"/>
    <row r="710" ht="12" customHeight="1" x14ac:dyDescent="0.2"/>
    <row r="711" ht="12" customHeight="1" x14ac:dyDescent="0.2"/>
    <row r="712" ht="12" customHeight="1" x14ac:dyDescent="0.2"/>
    <row r="713" ht="12" customHeight="1" x14ac:dyDescent="0.2"/>
    <row r="714" ht="12" customHeight="1" x14ac:dyDescent="0.2"/>
    <row r="715" ht="12" customHeight="1" x14ac:dyDescent="0.2"/>
    <row r="716" ht="12" customHeight="1" x14ac:dyDescent="0.2"/>
    <row r="717" ht="12" customHeight="1" x14ac:dyDescent="0.2"/>
    <row r="718" ht="12" customHeight="1" x14ac:dyDescent="0.2"/>
    <row r="719" ht="12" customHeight="1" x14ac:dyDescent="0.2"/>
    <row r="720" ht="12" customHeight="1" x14ac:dyDescent="0.2"/>
    <row r="721" ht="12" customHeight="1" x14ac:dyDescent="0.2"/>
    <row r="722" ht="12" customHeight="1" x14ac:dyDescent="0.2"/>
    <row r="723" ht="12" customHeight="1" x14ac:dyDescent="0.2"/>
    <row r="724" ht="12" customHeight="1" x14ac:dyDescent="0.2"/>
    <row r="725" ht="12" customHeight="1" x14ac:dyDescent="0.2"/>
    <row r="726" ht="12" customHeight="1" x14ac:dyDescent="0.2"/>
    <row r="727" ht="12" customHeight="1" x14ac:dyDescent="0.2"/>
    <row r="728" ht="12" customHeight="1" x14ac:dyDescent="0.2"/>
    <row r="729" ht="12" customHeight="1" x14ac:dyDescent="0.2"/>
    <row r="730" ht="12" customHeight="1" x14ac:dyDescent="0.2"/>
    <row r="731" ht="12" customHeight="1" x14ac:dyDescent="0.2"/>
    <row r="732" ht="12" customHeight="1" x14ac:dyDescent="0.2"/>
    <row r="733" ht="12" customHeight="1" x14ac:dyDescent="0.2"/>
    <row r="734" ht="12" customHeight="1" x14ac:dyDescent="0.2"/>
    <row r="735" ht="12" customHeight="1" x14ac:dyDescent="0.2"/>
    <row r="736" ht="12" customHeight="1" x14ac:dyDescent="0.2"/>
    <row r="737" ht="12" customHeight="1" x14ac:dyDescent="0.2"/>
    <row r="738" ht="12" customHeight="1" x14ac:dyDescent="0.2"/>
    <row r="739" ht="12" customHeight="1" x14ac:dyDescent="0.2"/>
    <row r="740" ht="12" customHeight="1" x14ac:dyDescent="0.2"/>
    <row r="741" ht="12" customHeight="1" x14ac:dyDescent="0.2"/>
    <row r="742" ht="12" customHeight="1" x14ac:dyDescent="0.2"/>
    <row r="743" ht="12" customHeight="1" x14ac:dyDescent="0.2"/>
    <row r="744" ht="12" customHeight="1" x14ac:dyDescent="0.2"/>
    <row r="745" ht="12" customHeight="1" x14ac:dyDescent="0.2"/>
    <row r="746" ht="12" customHeight="1" x14ac:dyDescent="0.2"/>
    <row r="747" ht="12" customHeight="1" x14ac:dyDescent="0.2"/>
    <row r="748" ht="12" customHeight="1" x14ac:dyDescent="0.2"/>
    <row r="749" ht="12" customHeight="1" x14ac:dyDescent="0.2"/>
    <row r="750" ht="12" customHeight="1" x14ac:dyDescent="0.2"/>
    <row r="751" ht="12" customHeight="1" x14ac:dyDescent="0.2"/>
    <row r="752" ht="12" customHeight="1" x14ac:dyDescent="0.2"/>
    <row r="753" ht="12" customHeight="1" x14ac:dyDescent="0.2"/>
    <row r="754" ht="12" customHeight="1" x14ac:dyDescent="0.2"/>
    <row r="755" ht="12" customHeight="1" x14ac:dyDescent="0.2"/>
    <row r="756" ht="12" customHeight="1" x14ac:dyDescent="0.2"/>
    <row r="757" ht="12" customHeight="1" x14ac:dyDescent="0.2"/>
    <row r="758" ht="12" customHeight="1" x14ac:dyDescent="0.2"/>
    <row r="759" ht="12" customHeight="1" x14ac:dyDescent="0.2"/>
    <row r="760" ht="12" customHeight="1" x14ac:dyDescent="0.2"/>
    <row r="761" ht="12" customHeight="1" x14ac:dyDescent="0.2"/>
    <row r="762" ht="12" customHeight="1" x14ac:dyDescent="0.2"/>
    <row r="763" ht="12" customHeight="1" x14ac:dyDescent="0.2"/>
    <row r="764" ht="12" customHeight="1" x14ac:dyDescent="0.2"/>
    <row r="765" ht="12" customHeight="1" x14ac:dyDescent="0.2"/>
    <row r="766" ht="12" customHeight="1" x14ac:dyDescent="0.2"/>
    <row r="767" ht="12" customHeight="1" x14ac:dyDescent="0.2"/>
    <row r="768" ht="12" customHeight="1" x14ac:dyDescent="0.2"/>
    <row r="769" ht="12" customHeight="1" x14ac:dyDescent="0.2"/>
    <row r="770" ht="12" customHeight="1" x14ac:dyDescent="0.2"/>
    <row r="771" ht="12" customHeight="1" x14ac:dyDescent="0.2"/>
    <row r="772" ht="12" customHeight="1" x14ac:dyDescent="0.2"/>
    <row r="773" ht="12" customHeight="1" x14ac:dyDescent="0.2"/>
    <row r="774" ht="12" customHeight="1" x14ac:dyDescent="0.2"/>
    <row r="775" ht="12" customHeight="1" x14ac:dyDescent="0.2"/>
    <row r="776" ht="12" customHeight="1" x14ac:dyDescent="0.2"/>
    <row r="777" ht="12" customHeight="1" x14ac:dyDescent="0.2"/>
    <row r="778" ht="12" customHeight="1" x14ac:dyDescent="0.2"/>
    <row r="779" ht="12" customHeight="1" x14ac:dyDescent="0.2"/>
    <row r="780" ht="12" customHeight="1" x14ac:dyDescent="0.2"/>
    <row r="781" ht="12" customHeight="1" x14ac:dyDescent="0.2"/>
    <row r="782" ht="12" customHeight="1" x14ac:dyDescent="0.2"/>
    <row r="783" ht="12" customHeight="1" x14ac:dyDescent="0.2"/>
    <row r="784" ht="12" customHeight="1" x14ac:dyDescent="0.2"/>
    <row r="785" ht="12" customHeight="1" x14ac:dyDescent="0.2"/>
    <row r="786" ht="12" customHeight="1" x14ac:dyDescent="0.2"/>
    <row r="787" ht="12" customHeight="1" x14ac:dyDescent="0.2"/>
    <row r="788" ht="12" customHeight="1" x14ac:dyDescent="0.2"/>
    <row r="789" ht="12" customHeight="1" x14ac:dyDescent="0.2"/>
    <row r="790" ht="12" customHeight="1" x14ac:dyDescent="0.2"/>
    <row r="791" ht="12" customHeight="1" x14ac:dyDescent="0.2"/>
    <row r="792" ht="12" customHeight="1" x14ac:dyDescent="0.2"/>
    <row r="793" ht="12" customHeight="1" x14ac:dyDescent="0.2"/>
    <row r="794" ht="12" customHeight="1" x14ac:dyDescent="0.2"/>
    <row r="795" ht="12" customHeight="1" x14ac:dyDescent="0.2"/>
    <row r="796" ht="12" customHeight="1" x14ac:dyDescent="0.2"/>
    <row r="797" ht="12" customHeight="1" x14ac:dyDescent="0.2"/>
    <row r="798" ht="12" customHeight="1" x14ac:dyDescent="0.2"/>
    <row r="799" ht="12" customHeight="1" x14ac:dyDescent="0.2"/>
    <row r="800" ht="12" customHeight="1" x14ac:dyDescent="0.2"/>
    <row r="801" ht="12" customHeight="1" x14ac:dyDescent="0.2"/>
    <row r="802" ht="12" customHeight="1" x14ac:dyDescent="0.2"/>
    <row r="803" ht="12" customHeight="1" x14ac:dyDescent="0.2"/>
    <row r="804" ht="12" customHeight="1" x14ac:dyDescent="0.2"/>
    <row r="805" ht="12" customHeight="1" x14ac:dyDescent="0.2"/>
    <row r="806" ht="12" customHeight="1" x14ac:dyDescent="0.2"/>
    <row r="807" ht="12" customHeight="1" x14ac:dyDescent="0.2"/>
    <row r="808" ht="12" customHeight="1" x14ac:dyDescent="0.2"/>
    <row r="809" ht="12" customHeight="1" x14ac:dyDescent="0.2"/>
    <row r="810" ht="12" customHeight="1" x14ac:dyDescent="0.2"/>
    <row r="811" ht="12" customHeight="1" x14ac:dyDescent="0.2"/>
    <row r="812" ht="12" customHeight="1" x14ac:dyDescent="0.2"/>
    <row r="813" ht="12" customHeight="1" x14ac:dyDescent="0.2"/>
    <row r="814" ht="12" customHeight="1" x14ac:dyDescent="0.2"/>
    <row r="815" ht="12" customHeight="1" x14ac:dyDescent="0.2"/>
    <row r="816" ht="12" customHeight="1" x14ac:dyDescent="0.2"/>
    <row r="817" ht="12" customHeight="1" x14ac:dyDescent="0.2"/>
    <row r="818" ht="12" customHeight="1" x14ac:dyDescent="0.2"/>
    <row r="819" ht="12" customHeight="1" x14ac:dyDescent="0.2"/>
    <row r="820" ht="12" customHeight="1" x14ac:dyDescent="0.2"/>
    <row r="821" ht="12" customHeight="1" x14ac:dyDescent="0.2"/>
    <row r="822" ht="12" customHeight="1" x14ac:dyDescent="0.2"/>
    <row r="823" ht="12" customHeight="1" x14ac:dyDescent="0.2"/>
    <row r="824" ht="12" customHeight="1" x14ac:dyDescent="0.2"/>
    <row r="825" ht="12" customHeight="1" x14ac:dyDescent="0.2"/>
    <row r="826" ht="12" customHeight="1" x14ac:dyDescent="0.2"/>
    <row r="827" ht="12" customHeight="1" x14ac:dyDescent="0.2"/>
    <row r="828" ht="12" customHeight="1" x14ac:dyDescent="0.2"/>
    <row r="829" ht="12" customHeight="1" x14ac:dyDescent="0.2"/>
    <row r="830" ht="12" customHeight="1" x14ac:dyDescent="0.2"/>
    <row r="831" ht="12" customHeight="1" x14ac:dyDescent="0.2"/>
    <row r="832" ht="12" customHeight="1" x14ac:dyDescent="0.2"/>
    <row r="833" ht="12" customHeight="1" x14ac:dyDescent="0.2"/>
    <row r="834" ht="12" customHeight="1" x14ac:dyDescent="0.2"/>
    <row r="835" ht="12" customHeight="1" x14ac:dyDescent="0.2"/>
    <row r="836" ht="12" customHeight="1" x14ac:dyDescent="0.2"/>
    <row r="837" ht="12" customHeight="1" x14ac:dyDescent="0.2"/>
    <row r="838" ht="12" customHeight="1" x14ac:dyDescent="0.2"/>
    <row r="839" ht="12" customHeight="1" x14ac:dyDescent="0.2"/>
    <row r="840" ht="12" customHeight="1" x14ac:dyDescent="0.2"/>
    <row r="841" ht="12" customHeight="1" x14ac:dyDescent="0.2"/>
    <row r="842" ht="12" customHeight="1" x14ac:dyDescent="0.2"/>
    <row r="843" ht="12" customHeight="1" x14ac:dyDescent="0.2"/>
    <row r="844" ht="12" customHeight="1" x14ac:dyDescent="0.2"/>
    <row r="845" ht="12" customHeight="1" x14ac:dyDescent="0.2"/>
    <row r="846" ht="12" customHeight="1" x14ac:dyDescent="0.2"/>
    <row r="847" ht="12" customHeight="1" x14ac:dyDescent="0.2"/>
    <row r="848" ht="12" customHeight="1" x14ac:dyDescent="0.2"/>
    <row r="849" ht="12" customHeight="1" x14ac:dyDescent="0.2"/>
    <row r="850" ht="12" customHeight="1" x14ac:dyDescent="0.2"/>
    <row r="851" ht="12" customHeight="1" x14ac:dyDescent="0.2"/>
    <row r="852" ht="12" customHeight="1" x14ac:dyDescent="0.2"/>
    <row r="853" ht="12" customHeight="1" x14ac:dyDescent="0.2"/>
    <row r="854" ht="12" customHeight="1" x14ac:dyDescent="0.2"/>
    <row r="855" ht="12" customHeight="1" x14ac:dyDescent="0.2"/>
    <row r="856" ht="12" customHeight="1" x14ac:dyDescent="0.2"/>
    <row r="857" ht="12" customHeight="1" x14ac:dyDescent="0.2"/>
    <row r="858" ht="12" customHeight="1" x14ac:dyDescent="0.2"/>
    <row r="859" ht="12" customHeight="1" x14ac:dyDescent="0.2"/>
    <row r="860" ht="12" customHeight="1" x14ac:dyDescent="0.2"/>
    <row r="861" ht="12" customHeight="1" x14ac:dyDescent="0.2"/>
    <row r="862" ht="12" customHeight="1" x14ac:dyDescent="0.2"/>
    <row r="863" ht="12" customHeight="1" x14ac:dyDescent="0.2"/>
    <row r="864" ht="12" customHeight="1" x14ac:dyDescent="0.2"/>
    <row r="865" ht="12" customHeight="1" x14ac:dyDescent="0.2"/>
    <row r="866" ht="12" customHeight="1" x14ac:dyDescent="0.2"/>
    <row r="867" ht="12" customHeight="1" x14ac:dyDescent="0.2"/>
    <row r="868" ht="12" customHeight="1" x14ac:dyDescent="0.2"/>
    <row r="869" ht="12" customHeight="1" x14ac:dyDescent="0.2"/>
    <row r="870" ht="12" customHeight="1" x14ac:dyDescent="0.2"/>
    <row r="871" ht="12" customHeight="1" x14ac:dyDescent="0.2"/>
    <row r="872" ht="12" customHeight="1" x14ac:dyDescent="0.2"/>
    <row r="873" ht="12" customHeight="1" x14ac:dyDescent="0.2"/>
    <row r="874" ht="12" customHeight="1" x14ac:dyDescent="0.2"/>
    <row r="875" ht="12" customHeight="1" x14ac:dyDescent="0.2"/>
    <row r="876" ht="12" customHeight="1" x14ac:dyDescent="0.2"/>
    <row r="877" ht="12" customHeight="1" x14ac:dyDescent="0.2"/>
    <row r="878" ht="12" customHeight="1" x14ac:dyDescent="0.2"/>
    <row r="879" ht="12" customHeight="1" x14ac:dyDescent="0.2"/>
    <row r="880" ht="12" customHeight="1" x14ac:dyDescent="0.2"/>
    <row r="881" ht="12" customHeight="1" x14ac:dyDescent="0.2"/>
    <row r="882" ht="12" customHeight="1" x14ac:dyDescent="0.2"/>
    <row r="883" ht="12" customHeight="1" x14ac:dyDescent="0.2"/>
    <row r="884" ht="12" customHeight="1" x14ac:dyDescent="0.2"/>
    <row r="885" ht="12" customHeight="1" x14ac:dyDescent="0.2"/>
    <row r="886" ht="12" customHeight="1" x14ac:dyDescent="0.2"/>
    <row r="887" ht="12" customHeight="1" x14ac:dyDescent="0.2"/>
    <row r="888" ht="12" customHeight="1" x14ac:dyDescent="0.2"/>
    <row r="889" ht="12" customHeight="1" x14ac:dyDescent="0.2"/>
    <row r="890" ht="12" customHeight="1" x14ac:dyDescent="0.2"/>
    <row r="891" ht="12" customHeight="1" x14ac:dyDescent="0.2"/>
    <row r="892" ht="12" customHeight="1" x14ac:dyDescent="0.2"/>
    <row r="893" ht="12" customHeight="1" x14ac:dyDescent="0.2"/>
    <row r="894" ht="12" customHeight="1" x14ac:dyDescent="0.2"/>
    <row r="895" ht="12" customHeight="1" x14ac:dyDescent="0.2"/>
    <row r="896" ht="12" customHeight="1" x14ac:dyDescent="0.2"/>
    <row r="897" ht="12" customHeight="1" x14ac:dyDescent="0.2"/>
    <row r="898" ht="12" customHeight="1" x14ac:dyDescent="0.2"/>
    <row r="899" ht="12" customHeight="1" x14ac:dyDescent="0.2"/>
    <row r="900" ht="12" customHeight="1" x14ac:dyDescent="0.2"/>
    <row r="901" ht="12" customHeight="1" x14ac:dyDescent="0.2"/>
    <row r="902" ht="12" customHeight="1" x14ac:dyDescent="0.2"/>
    <row r="903" ht="12" customHeight="1" x14ac:dyDescent="0.2"/>
    <row r="904" ht="12" customHeight="1" x14ac:dyDescent="0.2"/>
    <row r="905" ht="12" customHeight="1" x14ac:dyDescent="0.2"/>
    <row r="906" ht="12" customHeight="1" x14ac:dyDescent="0.2"/>
    <row r="907" ht="12" customHeight="1" x14ac:dyDescent="0.2"/>
    <row r="908" ht="12" customHeight="1" x14ac:dyDescent="0.2"/>
    <row r="909" ht="12" customHeight="1" x14ac:dyDescent="0.2"/>
    <row r="910" ht="12" customHeight="1" x14ac:dyDescent="0.2"/>
    <row r="911" ht="12" customHeight="1" x14ac:dyDescent="0.2"/>
    <row r="912" ht="12" customHeight="1" x14ac:dyDescent="0.2"/>
    <row r="913" ht="12" customHeight="1" x14ac:dyDescent="0.2"/>
    <row r="914" ht="12" customHeight="1" x14ac:dyDescent="0.2"/>
    <row r="915" ht="12" customHeight="1" x14ac:dyDescent="0.2"/>
    <row r="916" ht="12" customHeight="1" x14ac:dyDescent="0.2"/>
    <row r="917" ht="12" customHeight="1" x14ac:dyDescent="0.2"/>
    <row r="918" ht="12" customHeight="1" x14ac:dyDescent="0.2"/>
    <row r="919" ht="12" customHeight="1" x14ac:dyDescent="0.2"/>
    <row r="920" ht="12" customHeight="1" x14ac:dyDescent="0.2"/>
    <row r="921" ht="12" customHeight="1" x14ac:dyDescent="0.2"/>
    <row r="922" ht="12" customHeight="1" x14ac:dyDescent="0.2"/>
    <row r="923" ht="12" customHeight="1" x14ac:dyDescent="0.2"/>
    <row r="924" ht="12" customHeight="1" x14ac:dyDescent="0.2"/>
    <row r="925" ht="12" customHeight="1" x14ac:dyDescent="0.2"/>
    <row r="926" ht="12" customHeight="1" x14ac:dyDescent="0.2"/>
    <row r="927" ht="12" customHeight="1" x14ac:dyDescent="0.2"/>
    <row r="928" ht="12" customHeight="1" x14ac:dyDescent="0.2"/>
    <row r="929" ht="12" customHeight="1" x14ac:dyDescent="0.2"/>
    <row r="930" ht="12" customHeight="1" x14ac:dyDescent="0.2"/>
    <row r="931" ht="12" customHeight="1" x14ac:dyDescent="0.2"/>
    <row r="932" ht="12" customHeight="1" x14ac:dyDescent="0.2"/>
    <row r="933" ht="12" customHeight="1" x14ac:dyDescent="0.2"/>
    <row r="934" ht="12" customHeight="1" x14ac:dyDescent="0.2"/>
    <row r="935" ht="12" customHeight="1" x14ac:dyDescent="0.2"/>
    <row r="936" ht="12" customHeight="1" x14ac:dyDescent="0.2"/>
    <row r="937" ht="12" customHeight="1" x14ac:dyDescent="0.2"/>
    <row r="938" ht="12" customHeight="1" x14ac:dyDescent="0.2"/>
    <row r="939" ht="12" customHeight="1" x14ac:dyDescent="0.2"/>
    <row r="940" ht="12" customHeight="1" x14ac:dyDescent="0.2"/>
    <row r="941" ht="12" customHeight="1" x14ac:dyDescent="0.2"/>
    <row r="942" ht="12" customHeight="1" x14ac:dyDescent="0.2"/>
    <row r="943" ht="12" customHeight="1" x14ac:dyDescent="0.2"/>
    <row r="944" ht="12" customHeight="1" x14ac:dyDescent="0.2"/>
    <row r="945" ht="12" customHeight="1" x14ac:dyDescent="0.2"/>
    <row r="946" ht="12" customHeight="1" x14ac:dyDescent="0.2"/>
    <row r="947" ht="12" customHeight="1" x14ac:dyDescent="0.2"/>
    <row r="948" ht="12" customHeight="1" x14ac:dyDescent="0.2"/>
    <row r="949" ht="12" customHeight="1" x14ac:dyDescent="0.2"/>
    <row r="950" ht="12" customHeight="1" x14ac:dyDescent="0.2"/>
    <row r="951" ht="12" customHeight="1" x14ac:dyDescent="0.2"/>
    <row r="952" ht="12" customHeight="1" x14ac:dyDescent="0.2"/>
    <row r="953" ht="12" customHeight="1" x14ac:dyDescent="0.2"/>
    <row r="954" ht="12" customHeight="1" x14ac:dyDescent="0.2"/>
    <row r="955" ht="12" customHeight="1" x14ac:dyDescent="0.2"/>
    <row r="956" ht="12" customHeight="1" x14ac:dyDescent="0.2"/>
    <row r="957" ht="12" customHeight="1" x14ac:dyDescent="0.2"/>
    <row r="958" ht="12" customHeight="1" x14ac:dyDescent="0.2"/>
    <row r="959" ht="12" customHeight="1" x14ac:dyDescent="0.2"/>
    <row r="960" ht="12" customHeight="1" x14ac:dyDescent="0.2"/>
    <row r="961" ht="12" customHeight="1" x14ac:dyDescent="0.2"/>
    <row r="962" ht="12" customHeight="1" x14ac:dyDescent="0.2"/>
    <row r="963" ht="12" customHeight="1" x14ac:dyDescent="0.2"/>
    <row r="964" ht="12" customHeight="1" x14ac:dyDescent="0.2"/>
    <row r="965" ht="12" customHeight="1" x14ac:dyDescent="0.2"/>
    <row r="966" ht="12" customHeight="1" x14ac:dyDescent="0.2"/>
    <row r="967" ht="12" customHeight="1" x14ac:dyDescent="0.2"/>
    <row r="968" ht="12" customHeight="1" x14ac:dyDescent="0.2"/>
    <row r="969" ht="12" customHeight="1" x14ac:dyDescent="0.2"/>
    <row r="970" ht="12" customHeight="1" x14ac:dyDescent="0.2"/>
    <row r="971" ht="12" customHeight="1" x14ac:dyDescent="0.2"/>
    <row r="972" ht="12" customHeight="1" x14ac:dyDescent="0.2"/>
    <row r="973" ht="12" customHeight="1" x14ac:dyDescent="0.2"/>
    <row r="974" ht="12" customHeight="1" x14ac:dyDescent="0.2"/>
    <row r="975" ht="12" customHeight="1" x14ac:dyDescent="0.2"/>
    <row r="976" ht="12" customHeight="1" x14ac:dyDescent="0.2"/>
    <row r="977" ht="12" customHeight="1" x14ac:dyDescent="0.2"/>
    <row r="978" ht="12" customHeight="1" x14ac:dyDescent="0.2"/>
    <row r="979" ht="12" customHeight="1" x14ac:dyDescent="0.2"/>
    <row r="980" ht="12" customHeight="1" x14ac:dyDescent="0.2"/>
    <row r="981" ht="12" customHeight="1" x14ac:dyDescent="0.2"/>
    <row r="982" ht="12" customHeight="1" x14ac:dyDescent="0.2"/>
    <row r="983" ht="12" customHeight="1" x14ac:dyDescent="0.2"/>
    <row r="984" ht="12" customHeight="1" x14ac:dyDescent="0.2"/>
    <row r="985" ht="12" customHeight="1" x14ac:dyDescent="0.2"/>
    <row r="986" ht="12" customHeight="1" x14ac:dyDescent="0.2"/>
    <row r="987" ht="12" customHeight="1" x14ac:dyDescent="0.2"/>
    <row r="988" ht="12" customHeight="1" x14ac:dyDescent="0.2"/>
    <row r="989" ht="12" customHeight="1" x14ac:dyDescent="0.2"/>
    <row r="990" ht="12" customHeight="1" x14ac:dyDescent="0.2"/>
    <row r="991" ht="12" customHeight="1" x14ac:dyDescent="0.2"/>
    <row r="992" ht="12" customHeight="1" x14ac:dyDescent="0.2"/>
    <row r="993" ht="12" customHeight="1" x14ac:dyDescent="0.2"/>
    <row r="994" ht="12" customHeight="1" x14ac:dyDescent="0.2"/>
    <row r="995" ht="12" customHeight="1" x14ac:dyDescent="0.2"/>
    <row r="996" ht="12" customHeight="1" x14ac:dyDescent="0.2"/>
    <row r="997" ht="12" customHeight="1" x14ac:dyDescent="0.2"/>
    <row r="998" ht="12" customHeight="1" x14ac:dyDescent="0.2"/>
    <row r="999" ht="12" customHeight="1" x14ac:dyDescent="0.2"/>
    <row r="1000" ht="12" customHeight="1" x14ac:dyDescent="0.2"/>
    <row r="1001" ht="12" customHeight="1" x14ac:dyDescent="0.2"/>
    <row r="1002" ht="12" customHeight="1" x14ac:dyDescent="0.2"/>
    <row r="1003" ht="12" customHeight="1" x14ac:dyDescent="0.2"/>
    <row r="1004" ht="12" customHeight="1" x14ac:dyDescent="0.2"/>
    <row r="1005" ht="12" customHeight="1" x14ac:dyDescent="0.2"/>
    <row r="1006" ht="12" customHeight="1" x14ac:dyDescent="0.2"/>
    <row r="1007" ht="12" customHeight="1" x14ac:dyDescent="0.2"/>
    <row r="1008" ht="12" customHeight="1" x14ac:dyDescent="0.2"/>
    <row r="1009" ht="12" customHeight="1" x14ac:dyDescent="0.2"/>
    <row r="1010" ht="12" customHeight="1" x14ac:dyDescent="0.2"/>
    <row r="1011" ht="12" customHeight="1" x14ac:dyDescent="0.2"/>
    <row r="1012" ht="12" customHeight="1" x14ac:dyDescent="0.2"/>
    <row r="1013" ht="12" customHeight="1" x14ac:dyDescent="0.2"/>
    <row r="1014" ht="12" customHeight="1" x14ac:dyDescent="0.2"/>
    <row r="1015" ht="12" customHeight="1" x14ac:dyDescent="0.2"/>
    <row r="1016" ht="12" customHeight="1" x14ac:dyDescent="0.2"/>
    <row r="1017" ht="12" customHeight="1" x14ac:dyDescent="0.2"/>
    <row r="1018" ht="12" customHeight="1" x14ac:dyDescent="0.2"/>
    <row r="1019" ht="12" customHeight="1" x14ac:dyDescent="0.2"/>
    <row r="1020" ht="12" customHeight="1" x14ac:dyDescent="0.2"/>
    <row r="1021" ht="12" customHeight="1" x14ac:dyDescent="0.2"/>
    <row r="1022" ht="12" customHeight="1" x14ac:dyDescent="0.2"/>
    <row r="1023" ht="12" customHeight="1" x14ac:dyDescent="0.2"/>
    <row r="1024" ht="12" customHeight="1" x14ac:dyDescent="0.2"/>
    <row r="1025" ht="12" customHeight="1" x14ac:dyDescent="0.2"/>
  </sheetData>
  <sheetProtection password="D824" sheet="1" objects="1" scenarios="1"/>
  <protectedRanges>
    <protectedRange sqref="F4 F7 F17 F20 F10:F14 F26 F24 F29:F31" name="Range1"/>
  </protectedRanges>
  <customSheetViews>
    <customSheetView guid="{60DF9BBC-D692-423C-89AD-8A976478AE41}" scale="85" showGridLines="0" topLeftCell="A25">
      <selection activeCell="J33" sqref="J33"/>
      <pageMargins left="0.7" right="0.7" top="0.75" bottom="0.75" header="0.3" footer="0.3"/>
      <pageSetup paperSize="9" orientation="portrait" r:id="rId1"/>
    </customSheetView>
    <customSheetView guid="{C75A5F74-EB46-4EC1-8574-01D849F3C8D4}" scale="60" showPageBreaks="1" showGridLines="0" view="pageBreakPreview">
      <selection activeCell="F1" sqref="B1:F1048576"/>
    </customSheetView>
  </customSheetViews>
  <mergeCells count="5">
    <mergeCell ref="B2:F2"/>
    <mergeCell ref="B33:F33"/>
    <mergeCell ref="B53:E53"/>
    <mergeCell ref="B52:E52"/>
    <mergeCell ref="B54:F54"/>
  </mergeCells>
  <conditionalFormatting sqref="F26">
    <cfRule type="expression" dxfId="3" priority="41">
      <formula>#REF!="Inne"</formula>
    </cfRule>
  </conditionalFormatting>
  <dataValidations count="1">
    <dataValidation allowBlank="1" showInputMessage="1" sqref="F29:F30" xr:uid="{00000000-0002-0000-0000-000000000000}"/>
  </dataValidations>
  <pageMargins left="0.7" right="0.7" top="0.75" bottom="0.75" header="0.3" footer="0.3"/>
  <pageSetup paperSize="9" scale="49" orientation="portrait"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2" operator="lessThan" id="{2C00F88B-A0C8-4DC4-BE26-EE01D20F424C}">
            <xm:f>'Dane referencyjne'!$D$5*$F$26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ellIs" priority="3" operator="greaterThan" id="{FAD0E642-521D-4E0E-9C1F-CC32FA6994A1}">
            <xm:f>'Dane referencyjne'!$E$5*$F$26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F31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B1:P35"/>
  <sheetViews>
    <sheetView showGridLines="0" zoomScale="75" zoomScaleNormal="75" workbookViewId="0">
      <selection activeCell="J47" sqref="J47"/>
    </sheetView>
  </sheetViews>
  <sheetFormatPr defaultRowHeight="12.75" x14ac:dyDescent="0.2"/>
  <cols>
    <col min="1" max="1" width="2.85546875" style="41" customWidth="1"/>
    <col min="2" max="2" width="65.5703125" style="41" customWidth="1"/>
    <col min="3" max="3" width="7.42578125" style="41" customWidth="1"/>
    <col min="4" max="12" width="14" style="41" customWidth="1"/>
    <col min="13" max="13" width="15.5703125" style="41" customWidth="1"/>
    <col min="14" max="16384" width="9.140625" style="41"/>
  </cols>
  <sheetData>
    <row r="1" spans="2:16" ht="12.75" customHeight="1" thickBot="1" x14ac:dyDescent="0.25">
      <c r="B1" s="53"/>
      <c r="C1" s="53"/>
      <c r="D1" s="54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spans="2:16" ht="12.75" customHeight="1" x14ac:dyDescent="0.2">
      <c r="B2" s="156" t="s">
        <v>197</v>
      </c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2:16" ht="15" customHeight="1" x14ac:dyDescent="0.2">
      <c r="B3" s="135" t="str">
        <f>IF(Dane!F17&lt;&gt;"",Dane!F17,"")</f>
        <v/>
      </c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</row>
    <row r="4" spans="2:16" ht="12.75" customHeight="1" x14ac:dyDescent="0.2">
      <c r="B4" s="157" t="s">
        <v>74</v>
      </c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</row>
    <row r="5" spans="2:16" ht="15" customHeight="1" thickBot="1" x14ac:dyDescent="0.25">
      <c r="B5" s="136" t="str">
        <f>IF(Dane!F20&lt;&gt;"",Dane!F20,"")</f>
        <v/>
      </c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</row>
    <row r="6" spans="2:16" ht="12.75" customHeight="1" x14ac:dyDescent="0.2"/>
    <row r="7" spans="2:16" ht="12.75" customHeight="1" x14ac:dyDescent="0.2">
      <c r="B7" s="158" t="s">
        <v>116</v>
      </c>
      <c r="C7" s="159"/>
      <c r="D7" s="158"/>
      <c r="E7" s="158"/>
      <c r="F7" s="158"/>
      <c r="G7" s="159"/>
      <c r="H7" s="158"/>
      <c r="I7" s="159"/>
      <c r="J7" s="158"/>
      <c r="K7" s="158"/>
      <c r="L7" s="158"/>
      <c r="M7" s="158"/>
    </row>
    <row r="8" spans="2:16" ht="12.75" customHeight="1" x14ac:dyDescent="0.2">
      <c r="B8" s="41" t="s">
        <v>119</v>
      </c>
      <c r="C8" s="40" t="s">
        <v>0</v>
      </c>
      <c r="D8" s="188">
        <f>WACC!D32</f>
        <v>8.4029444444444448E-2</v>
      </c>
    </row>
    <row r="9" spans="2:16" ht="12.75" customHeight="1" x14ac:dyDescent="0.2">
      <c r="C9" s="20"/>
      <c r="D9" s="213" t="s">
        <v>117</v>
      </c>
      <c r="E9" s="213"/>
      <c r="F9" s="213"/>
      <c r="G9" s="213"/>
      <c r="H9" s="213"/>
      <c r="I9" s="213"/>
      <c r="J9" s="213"/>
      <c r="K9" s="213"/>
      <c r="L9" s="213"/>
      <c r="M9" s="213"/>
    </row>
    <row r="10" spans="2:16" ht="12.75" customHeight="1" x14ac:dyDescent="0.2">
      <c r="D10" s="117">
        <v>-7</v>
      </c>
      <c r="E10" s="117">
        <v>-6</v>
      </c>
      <c r="F10" s="117">
        <v>-5</v>
      </c>
      <c r="G10" s="117">
        <v>-4</v>
      </c>
      <c r="H10" s="117">
        <v>-3</v>
      </c>
      <c r="I10" s="117">
        <v>-2</v>
      </c>
      <c r="J10" s="117">
        <v>-1</v>
      </c>
      <c r="K10" s="117">
        <v>0</v>
      </c>
    </row>
    <row r="11" spans="2:16" s="183" customFormat="1" ht="30" customHeight="1" thickBot="1" x14ac:dyDescent="0.25">
      <c r="B11" s="181"/>
      <c r="C11" s="182"/>
      <c r="D11" s="212" t="s">
        <v>124</v>
      </c>
      <c r="E11" s="212"/>
      <c r="F11" s="212"/>
      <c r="G11" s="212"/>
      <c r="H11" s="212"/>
      <c r="I11" s="212"/>
      <c r="J11" s="212"/>
      <c r="K11" s="212"/>
      <c r="L11" s="184" t="s">
        <v>118</v>
      </c>
      <c r="M11" s="185" t="s">
        <v>120</v>
      </c>
    </row>
    <row r="12" spans="2:16" ht="15" customHeight="1" thickTop="1" x14ac:dyDescent="0.2">
      <c r="B12" s="110" t="s">
        <v>202</v>
      </c>
      <c r="C12" s="204" t="s">
        <v>142</v>
      </c>
      <c r="D12" s="189"/>
      <c r="E12" s="190"/>
      <c r="F12" s="190"/>
      <c r="G12" s="190"/>
      <c r="H12" s="190"/>
      <c r="I12" s="190"/>
      <c r="J12" s="190"/>
      <c r="K12" s="190"/>
      <c r="L12" s="209">
        <f>(1+D8)^7</f>
        <v>1.7590879384530005</v>
      </c>
      <c r="M12" s="85">
        <f>D12*L12</f>
        <v>0</v>
      </c>
    </row>
    <row r="13" spans="2:16" ht="15" customHeight="1" x14ac:dyDescent="0.2">
      <c r="B13" s="179" t="s">
        <v>193</v>
      </c>
      <c r="C13" s="205"/>
      <c r="D13" s="191"/>
      <c r="E13" s="190"/>
      <c r="F13" s="192"/>
      <c r="G13" s="192"/>
      <c r="H13" s="192"/>
      <c r="I13" s="192"/>
      <c r="J13" s="192"/>
      <c r="K13" s="192"/>
      <c r="L13" s="210"/>
      <c r="M13" s="175">
        <f>D13*L12</f>
        <v>0</v>
      </c>
    </row>
    <row r="14" spans="2:16" ht="15" customHeight="1" x14ac:dyDescent="0.2">
      <c r="B14" s="110" t="s">
        <v>202</v>
      </c>
      <c r="C14" s="205"/>
      <c r="D14" s="190"/>
      <c r="E14" s="193"/>
      <c r="F14" s="190"/>
      <c r="G14" s="190"/>
      <c r="H14" s="190"/>
      <c r="I14" s="190"/>
      <c r="J14" s="190"/>
      <c r="K14" s="190"/>
      <c r="L14" s="209">
        <f>(1+D8)^6</f>
        <v>1.6227307731059994</v>
      </c>
      <c r="M14" s="85">
        <f>E14*L14</f>
        <v>0</v>
      </c>
    </row>
    <row r="15" spans="2:16" ht="15" customHeight="1" x14ac:dyDescent="0.2">
      <c r="B15" s="179" t="s">
        <v>193</v>
      </c>
      <c r="C15" s="205"/>
      <c r="D15" s="192"/>
      <c r="E15" s="193"/>
      <c r="F15" s="190"/>
      <c r="G15" s="192"/>
      <c r="H15" s="192"/>
      <c r="I15" s="192"/>
      <c r="J15" s="192"/>
      <c r="K15" s="192"/>
      <c r="L15" s="210"/>
      <c r="M15" s="175">
        <f>E15*L14</f>
        <v>0</v>
      </c>
    </row>
    <row r="16" spans="2:16" ht="15" customHeight="1" x14ac:dyDescent="0.2">
      <c r="B16" s="110" t="s">
        <v>202</v>
      </c>
      <c r="C16" s="205"/>
      <c r="D16" s="190"/>
      <c r="E16" s="190"/>
      <c r="F16" s="193"/>
      <c r="G16" s="190"/>
      <c r="H16" s="190"/>
      <c r="I16" s="190"/>
      <c r="J16" s="190"/>
      <c r="K16" s="190"/>
      <c r="L16" s="209">
        <f>(1+D8)^5</f>
        <v>1.4969434468983769</v>
      </c>
      <c r="M16" s="85">
        <f>F16*L16</f>
        <v>0</v>
      </c>
    </row>
    <row r="17" spans="2:14" ht="15" customHeight="1" x14ac:dyDescent="0.2">
      <c r="B17" s="179" t="s">
        <v>193</v>
      </c>
      <c r="C17" s="205"/>
      <c r="D17" s="192"/>
      <c r="E17" s="192"/>
      <c r="F17" s="193"/>
      <c r="G17" s="190"/>
      <c r="H17" s="192"/>
      <c r="I17" s="192"/>
      <c r="J17" s="192"/>
      <c r="K17" s="192"/>
      <c r="L17" s="210"/>
      <c r="M17" s="175">
        <f>F17*L16</f>
        <v>0</v>
      </c>
    </row>
    <row r="18" spans="2:14" ht="15" customHeight="1" x14ac:dyDescent="0.2">
      <c r="B18" s="110" t="s">
        <v>202</v>
      </c>
      <c r="C18" s="205"/>
      <c r="D18" s="190"/>
      <c r="E18" s="190"/>
      <c r="F18" s="190"/>
      <c r="G18" s="193"/>
      <c r="H18" s="190"/>
      <c r="I18" s="190"/>
      <c r="J18" s="190"/>
      <c r="K18" s="190"/>
      <c r="L18" s="209">
        <f>(1+D8)^4</f>
        <v>1.380906629953716</v>
      </c>
      <c r="M18" s="85">
        <f>G18*L18</f>
        <v>0</v>
      </c>
    </row>
    <row r="19" spans="2:14" ht="15" customHeight="1" x14ac:dyDescent="0.2">
      <c r="B19" s="179" t="s">
        <v>193</v>
      </c>
      <c r="C19" s="205"/>
      <c r="D19" s="192"/>
      <c r="E19" s="192"/>
      <c r="F19" s="192"/>
      <c r="G19" s="193"/>
      <c r="H19" s="190"/>
      <c r="I19" s="192"/>
      <c r="J19" s="192"/>
      <c r="K19" s="192"/>
      <c r="L19" s="210"/>
      <c r="M19" s="175">
        <f>G19*L18</f>
        <v>0</v>
      </c>
    </row>
    <row r="20" spans="2:14" ht="15" customHeight="1" x14ac:dyDescent="0.2">
      <c r="B20" s="110" t="s">
        <v>202</v>
      </c>
      <c r="C20" s="205"/>
      <c r="D20" s="190"/>
      <c r="E20" s="190"/>
      <c r="F20" s="190"/>
      <c r="G20" s="190"/>
      <c r="H20" s="193"/>
      <c r="I20" s="190"/>
      <c r="J20" s="190"/>
      <c r="K20" s="190"/>
      <c r="L20" s="209">
        <f>(1+D8)^3</f>
        <v>1.2738645034327629</v>
      </c>
      <c r="M20" s="85">
        <f>H20*L20</f>
        <v>0</v>
      </c>
    </row>
    <row r="21" spans="2:14" ht="15" customHeight="1" x14ac:dyDescent="0.2">
      <c r="B21" s="179" t="s">
        <v>193</v>
      </c>
      <c r="C21" s="205"/>
      <c r="D21" s="192"/>
      <c r="E21" s="192"/>
      <c r="F21" s="192"/>
      <c r="G21" s="192"/>
      <c r="H21" s="193"/>
      <c r="I21" s="190"/>
      <c r="J21" s="192"/>
      <c r="K21" s="192"/>
      <c r="L21" s="210"/>
      <c r="M21" s="175">
        <f>H21*L20</f>
        <v>0</v>
      </c>
    </row>
    <row r="22" spans="2:14" ht="15" customHeight="1" x14ac:dyDescent="0.2">
      <c r="B22" s="110" t="s">
        <v>202</v>
      </c>
      <c r="C22" s="205"/>
      <c r="D22" s="190"/>
      <c r="E22" s="190"/>
      <c r="F22" s="190"/>
      <c r="G22" s="190"/>
      <c r="H22" s="190"/>
      <c r="I22" s="193"/>
      <c r="J22" s="190"/>
      <c r="K22" s="190"/>
      <c r="L22" s="209">
        <f>(1+D8)^2</f>
        <v>1.175119836422531</v>
      </c>
      <c r="M22" s="85">
        <f>I22*L22</f>
        <v>0</v>
      </c>
    </row>
    <row r="23" spans="2:14" ht="15" customHeight="1" x14ac:dyDescent="0.2">
      <c r="B23" s="179" t="s">
        <v>193</v>
      </c>
      <c r="C23" s="205"/>
      <c r="D23" s="192"/>
      <c r="E23" s="192"/>
      <c r="F23" s="192"/>
      <c r="G23" s="192"/>
      <c r="H23" s="192"/>
      <c r="I23" s="193"/>
      <c r="J23" s="190"/>
      <c r="K23" s="192"/>
      <c r="L23" s="210"/>
      <c r="M23" s="175">
        <f>I23*L22</f>
        <v>0</v>
      </c>
    </row>
    <row r="24" spans="2:14" ht="15" customHeight="1" x14ac:dyDescent="0.2">
      <c r="B24" s="110" t="s">
        <v>202</v>
      </c>
      <c r="C24" s="205"/>
      <c r="D24" s="190"/>
      <c r="E24" s="190"/>
      <c r="F24" s="190"/>
      <c r="G24" s="190"/>
      <c r="H24" s="190"/>
      <c r="I24" s="190"/>
      <c r="J24" s="193"/>
      <c r="K24" s="190"/>
      <c r="L24" s="209">
        <f>(1+D8)^1</f>
        <v>1.0840294444444445</v>
      </c>
      <c r="M24" s="85">
        <f>J24*L24</f>
        <v>0</v>
      </c>
    </row>
    <row r="25" spans="2:14" ht="15" customHeight="1" x14ac:dyDescent="0.2">
      <c r="B25" s="179" t="s">
        <v>193</v>
      </c>
      <c r="C25" s="205"/>
      <c r="D25" s="192"/>
      <c r="E25" s="192"/>
      <c r="F25" s="192"/>
      <c r="G25" s="192"/>
      <c r="H25" s="192"/>
      <c r="I25" s="192"/>
      <c r="J25" s="193"/>
      <c r="K25" s="190"/>
      <c r="L25" s="210"/>
      <c r="M25" s="175">
        <f>J25*L24</f>
        <v>0</v>
      </c>
    </row>
    <row r="26" spans="2:14" ht="15" customHeight="1" x14ac:dyDescent="0.2">
      <c r="B26" s="110" t="s">
        <v>202</v>
      </c>
      <c r="C26" s="205"/>
      <c r="D26" s="190"/>
      <c r="E26" s="190"/>
      <c r="F26" s="190"/>
      <c r="G26" s="190"/>
      <c r="H26" s="190"/>
      <c r="I26" s="190"/>
      <c r="J26" s="190"/>
      <c r="K26" s="194"/>
      <c r="L26" s="209">
        <f>(1+D8)^0</f>
        <v>1</v>
      </c>
      <c r="M26" s="85">
        <f>K26*L26</f>
        <v>0</v>
      </c>
    </row>
    <row r="27" spans="2:14" ht="15" customHeight="1" thickBot="1" x14ac:dyDescent="0.25">
      <c r="B27" s="179" t="s">
        <v>193</v>
      </c>
      <c r="C27" s="206"/>
      <c r="D27" s="195"/>
      <c r="E27" s="195"/>
      <c r="F27" s="195"/>
      <c r="G27" s="195"/>
      <c r="H27" s="195"/>
      <c r="I27" s="195"/>
      <c r="J27" s="195"/>
      <c r="K27" s="196"/>
      <c r="L27" s="211"/>
      <c r="M27" s="85">
        <f>K27*L26</f>
        <v>0</v>
      </c>
    </row>
    <row r="28" spans="2:14" ht="15" customHeight="1" thickTop="1" thickBot="1" x14ac:dyDescent="0.3">
      <c r="B28" s="180" t="s">
        <v>190</v>
      </c>
      <c r="C28" s="207" t="s">
        <v>142</v>
      </c>
      <c r="D28" s="176"/>
      <c r="E28" s="176"/>
      <c r="F28" s="176"/>
      <c r="G28" s="176"/>
      <c r="H28" s="176"/>
      <c r="I28" s="176"/>
      <c r="J28" s="176"/>
      <c r="K28" s="176"/>
      <c r="L28" s="176"/>
      <c r="M28" s="186">
        <f>M12+M14+M16+M18+M20+M22+M24+M26</f>
        <v>0</v>
      </c>
      <c r="N28" s="145" t="str">
        <f>IF(OR(M28&gt;'Dane referencyjne'!E4*Dane!F26,M28&lt;'Dane referencyjne'!D4*Dane!F26),"Wartość wykracza poza dane referencyjne. Konieczne uzasadnienie.","")</f>
        <v/>
      </c>
    </row>
    <row r="29" spans="2:14" ht="15" customHeight="1" thickBot="1" x14ac:dyDescent="0.25">
      <c r="B29" s="180" t="s">
        <v>194</v>
      </c>
      <c r="C29" s="208"/>
      <c r="D29" s="178"/>
      <c r="E29" s="178"/>
      <c r="F29" s="178"/>
      <c r="G29" s="178"/>
      <c r="H29" s="178"/>
      <c r="I29" s="178"/>
      <c r="J29" s="178"/>
      <c r="K29" s="178"/>
      <c r="L29" s="178"/>
      <c r="M29" s="177">
        <f>M13+M15+M17+M19+M21+M23+M25+M27</f>
        <v>0</v>
      </c>
    </row>
    <row r="30" spans="2:14" ht="12.75" customHeight="1" x14ac:dyDescent="0.2"/>
    <row r="31" spans="2:14" ht="12.75" customHeight="1" x14ac:dyDescent="0.2"/>
    <row r="32" spans="2:14" ht="12.75" customHeight="1" x14ac:dyDescent="0.2"/>
    <row r="33" ht="12.75" customHeight="1" x14ac:dyDescent="0.2"/>
    <row r="34" ht="12.75" customHeight="1" x14ac:dyDescent="0.2"/>
    <row r="35" ht="12.75" customHeight="1" x14ac:dyDescent="0.2"/>
  </sheetData>
  <sheetProtection password="D824" sheet="1" objects="1" scenarios="1"/>
  <mergeCells count="12">
    <mergeCell ref="D11:K11"/>
    <mergeCell ref="D9:M9"/>
    <mergeCell ref="L12:L13"/>
    <mergeCell ref="L14:L15"/>
    <mergeCell ref="L16:L17"/>
    <mergeCell ref="C12:C27"/>
    <mergeCell ref="C28:C29"/>
    <mergeCell ref="L18:L19"/>
    <mergeCell ref="L20:L21"/>
    <mergeCell ref="L22:L23"/>
    <mergeCell ref="L24:L25"/>
    <mergeCell ref="L26:L27"/>
  </mergeCells>
  <pageMargins left="0.7" right="0.7" top="0.75" bottom="0.75" header="0.3" footer="0.3"/>
  <pageSetup paperSize="9" scale="5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pageSetUpPr fitToPage="1"/>
  </sheetPr>
  <dimension ref="B1:AN68"/>
  <sheetViews>
    <sheetView showGridLines="0" zoomScale="75" zoomScaleNormal="75" zoomScaleSheetLayoutView="25" workbookViewId="0">
      <selection activeCell="G40" sqref="G40"/>
    </sheetView>
  </sheetViews>
  <sheetFormatPr defaultRowHeight="12.75" outlineLevelCol="1" x14ac:dyDescent="0.2"/>
  <cols>
    <col min="1" max="1" width="5" style="52" customWidth="1"/>
    <col min="2" max="2" width="10.7109375" style="1" customWidth="1"/>
    <col min="3" max="3" width="87" style="52" customWidth="1"/>
    <col min="4" max="4" width="17.140625" style="18" customWidth="1"/>
    <col min="5" max="8" width="15.5703125" style="52" customWidth="1"/>
    <col min="9" max="12" width="15.5703125" style="52" customWidth="1" outlineLevel="1"/>
    <col min="13" max="19" width="15.5703125" style="52" customWidth="1"/>
    <col min="20" max="41" width="17.140625" style="52" customWidth="1"/>
    <col min="42" max="16384" width="9.140625" style="52"/>
  </cols>
  <sheetData>
    <row r="1" spans="2:40" s="15" customFormat="1" ht="16.5" customHeight="1" thickBot="1" x14ac:dyDescent="0.25">
      <c r="D1" s="16"/>
    </row>
    <row r="2" spans="2:40" s="15" customFormat="1" ht="16.5" customHeight="1" x14ac:dyDescent="0.2">
      <c r="C2" s="160" t="s">
        <v>197</v>
      </c>
    </row>
    <row r="3" spans="2:40" s="15" customFormat="1" ht="14.25" customHeight="1" x14ac:dyDescent="0.2">
      <c r="C3" s="133" t="str">
        <f>IF(Dane!F17&lt;&gt;"",Dane!F17,"")</f>
        <v/>
      </c>
    </row>
    <row r="4" spans="2:40" s="15" customFormat="1" ht="16.5" customHeight="1" x14ac:dyDescent="0.2">
      <c r="C4" s="161" t="s">
        <v>74</v>
      </c>
    </row>
    <row r="5" spans="2:40" s="15" customFormat="1" ht="14.25" customHeight="1" x14ac:dyDescent="0.2">
      <c r="C5" s="134" t="str">
        <f>IF(Dane!F20&lt;&gt;"",Dane!F20,"")</f>
        <v/>
      </c>
    </row>
    <row r="6" spans="2:40" s="15" customFormat="1" ht="16.5" customHeight="1" x14ac:dyDescent="0.2">
      <c r="C6" s="161" t="s">
        <v>168</v>
      </c>
    </row>
    <row r="7" spans="2:40" s="15" customFormat="1" ht="14.25" customHeight="1" thickBot="1" x14ac:dyDescent="0.25">
      <c r="C7" s="137" t="str">
        <f t="array" ref="C7">IF(SUM(($B$9:$AO$68="bd.")*1)&gt;0, "Wystąpiły błędy w kalkulacjach popraw dane wejściowe", "Formularz nie zawiera błędów")</f>
        <v>Formularz nie zawiera błędów</v>
      </c>
    </row>
    <row r="8" spans="2:40" s="15" customFormat="1" ht="16.5" customHeight="1" x14ac:dyDescent="0.2">
      <c r="D8" s="16"/>
      <c r="N8" s="44"/>
      <c r="O8" s="44"/>
    </row>
    <row r="9" spans="2:40" x14ac:dyDescent="0.2">
      <c r="B9" s="162" t="s">
        <v>18</v>
      </c>
      <c r="C9" s="163" t="s">
        <v>76</v>
      </c>
      <c r="D9" s="164"/>
      <c r="E9" s="165"/>
      <c r="F9" s="215" t="s">
        <v>128</v>
      </c>
      <c r="G9" s="215"/>
      <c r="H9" s="25"/>
      <c r="I9" s="214"/>
      <c r="J9" s="214"/>
      <c r="K9" s="214"/>
      <c r="L9" s="214"/>
      <c r="M9" s="214"/>
      <c r="N9" s="44"/>
      <c r="O9" s="44"/>
      <c r="P9" s="5"/>
      <c r="Q9" s="5"/>
      <c r="R9" s="5"/>
      <c r="S9" s="5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</row>
    <row r="10" spans="2:40" x14ac:dyDescent="0.2">
      <c r="B10" s="33" t="s">
        <v>19</v>
      </c>
      <c r="C10" s="121" t="s">
        <v>2</v>
      </c>
      <c r="D10" s="35"/>
      <c r="E10" s="27"/>
      <c r="F10" s="216" t="s">
        <v>38</v>
      </c>
      <c r="G10" s="216"/>
      <c r="H10" s="25"/>
      <c r="I10" s="25"/>
      <c r="J10" s="25"/>
      <c r="K10" s="25"/>
      <c r="L10" s="25"/>
      <c r="M10" s="25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</row>
    <row r="11" spans="2:40" ht="27.75" customHeight="1" x14ac:dyDescent="0.2">
      <c r="B11" s="32" t="s">
        <v>20</v>
      </c>
      <c r="C11" s="122" t="s">
        <v>138</v>
      </c>
      <c r="D11" s="36"/>
      <c r="E11" s="44"/>
      <c r="F11" s="217" t="str">
        <f>Dane!F24</f>
        <v>Instalacja wytwarzająca biogaz rolniczy</v>
      </c>
      <c r="G11" s="217"/>
      <c r="H11" s="21"/>
      <c r="I11" s="218"/>
      <c r="J11" s="218"/>
      <c r="K11" s="25"/>
      <c r="L11" s="219"/>
      <c r="M11" s="217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4"/>
    </row>
    <row r="12" spans="2:40" ht="12.75" customHeight="1" x14ac:dyDescent="0.2">
      <c r="B12" s="32" t="s">
        <v>21</v>
      </c>
      <c r="C12" s="122" t="s">
        <v>123</v>
      </c>
      <c r="D12" s="36" t="s">
        <v>141</v>
      </c>
      <c r="E12" s="44"/>
      <c r="F12" s="21"/>
      <c r="G12" s="21">
        <f>Dane!F25</f>
        <v>15</v>
      </c>
      <c r="H12" s="21"/>
      <c r="I12" s="21"/>
      <c r="J12" s="21"/>
      <c r="K12" s="21"/>
      <c r="L12" s="22"/>
      <c r="M12" s="21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4"/>
      <c r="AK12" s="44"/>
      <c r="AL12" s="44"/>
      <c r="AM12" s="44"/>
      <c r="AN12" s="44"/>
    </row>
    <row r="13" spans="2:40" ht="12.75" customHeight="1" x14ac:dyDescent="0.2">
      <c r="B13" s="32" t="s">
        <v>22</v>
      </c>
      <c r="C13" s="122" t="s">
        <v>185</v>
      </c>
      <c r="D13" s="36" t="s">
        <v>148</v>
      </c>
      <c r="E13" s="44"/>
      <c r="F13" s="21"/>
      <c r="G13" s="47">
        <f>Dane!F26</f>
        <v>0</v>
      </c>
      <c r="H13" s="47"/>
      <c r="I13" s="130"/>
      <c r="J13" s="47"/>
      <c r="K13" s="47"/>
      <c r="L13" s="130"/>
      <c r="M13" s="47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4"/>
    </row>
    <row r="14" spans="2:40" ht="12.75" customHeight="1" x14ac:dyDescent="0.2">
      <c r="B14" s="32"/>
      <c r="C14" s="122"/>
      <c r="D14" s="36"/>
      <c r="E14" s="21"/>
      <c r="F14" s="21"/>
      <c r="G14" s="21"/>
      <c r="H14" s="21"/>
      <c r="I14" s="21"/>
      <c r="J14" s="21"/>
      <c r="K14" s="21"/>
      <c r="L14" s="21"/>
      <c r="M14" s="21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</row>
    <row r="15" spans="2:40" ht="12.75" customHeight="1" x14ac:dyDescent="0.2">
      <c r="B15" s="33" t="s">
        <v>23</v>
      </c>
      <c r="C15" s="121" t="s">
        <v>169</v>
      </c>
      <c r="D15" s="35"/>
      <c r="E15" s="27"/>
      <c r="F15" s="4"/>
      <c r="G15" s="27"/>
      <c r="H15" s="25"/>
      <c r="I15" s="21"/>
      <c r="J15" s="25"/>
      <c r="K15" s="25"/>
      <c r="L15" s="25"/>
      <c r="M15" s="25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</row>
    <row r="16" spans="2:40" s="93" customFormat="1" ht="12.75" customHeight="1" x14ac:dyDescent="0.2">
      <c r="B16" s="94" t="s">
        <v>24</v>
      </c>
      <c r="C16" s="123" t="s">
        <v>186</v>
      </c>
      <c r="D16" s="95" t="s">
        <v>0</v>
      </c>
      <c r="E16" s="96"/>
      <c r="F16" s="96"/>
      <c r="G16" s="98">
        <f>Dane!F41</f>
        <v>0.6</v>
      </c>
      <c r="H16" s="26"/>
      <c r="I16" s="26"/>
      <c r="J16" s="26"/>
      <c r="K16" s="26"/>
      <c r="L16" s="26"/>
      <c r="M16" s="26"/>
      <c r="N16" s="97"/>
      <c r="O16" s="97"/>
      <c r="P16" s="97"/>
      <c r="Q16" s="97"/>
      <c r="R16" s="97"/>
      <c r="S16" s="97"/>
      <c r="T16" s="97"/>
      <c r="U16" s="97"/>
      <c r="V16" s="97"/>
      <c r="W16" s="97"/>
      <c r="X16" s="97"/>
      <c r="Y16" s="97"/>
      <c r="Z16" s="97"/>
      <c r="AA16" s="97"/>
      <c r="AB16" s="97"/>
      <c r="AC16" s="97"/>
      <c r="AD16" s="97"/>
      <c r="AE16" s="97"/>
      <c r="AF16" s="97"/>
      <c r="AG16" s="97"/>
      <c r="AH16" s="97"/>
      <c r="AI16" s="97"/>
      <c r="AJ16" s="97"/>
      <c r="AK16" s="97"/>
      <c r="AL16" s="97"/>
      <c r="AM16" s="97"/>
      <c r="AN16" s="97"/>
    </row>
    <row r="17" spans="2:40" ht="12.75" customHeight="1" x14ac:dyDescent="0.2">
      <c r="B17" s="24" t="s">
        <v>25</v>
      </c>
      <c r="C17" s="112" t="s">
        <v>159</v>
      </c>
      <c r="D17" s="43" t="s">
        <v>0</v>
      </c>
      <c r="E17" s="44"/>
      <c r="G17" s="102">
        <f>Dane!F42</f>
        <v>0.25</v>
      </c>
      <c r="H17" s="26"/>
      <c r="I17" s="22"/>
      <c r="J17" s="23"/>
      <c r="K17" s="26"/>
      <c r="L17" s="22"/>
      <c r="M17" s="23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</row>
    <row r="18" spans="2:40" ht="12.75" customHeight="1" x14ac:dyDescent="0.2">
      <c r="B18" s="24" t="s">
        <v>170</v>
      </c>
      <c r="C18" s="112" t="s">
        <v>160</v>
      </c>
      <c r="D18" s="43"/>
      <c r="E18" s="44"/>
      <c r="G18" s="47">
        <f>Dane!F43</f>
        <v>21</v>
      </c>
      <c r="H18" s="26"/>
      <c r="I18" s="22"/>
      <c r="J18" s="23"/>
      <c r="K18" s="26"/>
      <c r="L18" s="22"/>
      <c r="M18" s="23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4"/>
    </row>
    <row r="19" spans="2:40" ht="12.75" customHeight="1" x14ac:dyDescent="0.2">
      <c r="B19" s="24" t="s">
        <v>171</v>
      </c>
      <c r="C19" s="112" t="s">
        <v>161</v>
      </c>
      <c r="D19" s="43" t="s">
        <v>162</v>
      </c>
      <c r="E19" s="44"/>
      <c r="G19" s="104">
        <f>Dane!F44</f>
        <v>0.71699999999999997</v>
      </c>
      <c r="H19" s="26"/>
      <c r="I19" s="22"/>
      <c r="J19" s="23"/>
      <c r="K19" s="26"/>
      <c r="L19" s="22"/>
      <c r="M19" s="23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</row>
    <row r="20" spans="2:40" ht="12.75" customHeight="1" x14ac:dyDescent="0.2">
      <c r="B20" s="32"/>
      <c r="C20" s="122"/>
      <c r="D20" s="36"/>
      <c r="E20" s="21"/>
      <c r="F20" s="21"/>
      <c r="G20" s="21"/>
      <c r="H20" s="21"/>
      <c r="I20" s="21"/>
      <c r="J20" s="21"/>
      <c r="K20" s="21"/>
      <c r="L20" s="21"/>
      <c r="M20" s="21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4"/>
    </row>
    <row r="21" spans="2:40" ht="12.75" customHeight="1" x14ac:dyDescent="0.2">
      <c r="B21" s="33" t="s">
        <v>26</v>
      </c>
      <c r="C21" s="121" t="s">
        <v>88</v>
      </c>
      <c r="D21" s="35"/>
      <c r="E21" s="27"/>
      <c r="F21" s="4"/>
      <c r="G21" s="27"/>
      <c r="H21" s="25"/>
      <c r="I21" s="21"/>
      <c r="J21" s="25"/>
      <c r="K21" s="25"/>
      <c r="L21" s="25"/>
      <c r="M21" s="25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4"/>
    </row>
    <row r="22" spans="2:40" ht="12.75" customHeight="1" x14ac:dyDescent="0.2">
      <c r="B22" s="32" t="s">
        <v>27</v>
      </c>
      <c r="C22" s="122" t="s">
        <v>195</v>
      </c>
      <c r="D22" s="36" t="s">
        <v>142</v>
      </c>
      <c r="E22" s="44"/>
      <c r="G22" s="47">
        <f>Dane!F29-Dane!F30</f>
        <v>0</v>
      </c>
      <c r="H22" s="21"/>
      <c r="I22" s="21"/>
      <c r="J22" s="30"/>
      <c r="K22" s="25"/>
      <c r="L22" s="21"/>
      <c r="M22" s="25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4"/>
    </row>
    <row r="23" spans="2:40" ht="12.75" customHeight="1" x14ac:dyDescent="0.2">
      <c r="B23" s="32" t="s">
        <v>29</v>
      </c>
      <c r="C23" s="124" t="s">
        <v>178</v>
      </c>
      <c r="D23" s="36" t="s">
        <v>143</v>
      </c>
      <c r="E23" s="44"/>
      <c r="G23" s="47">
        <f>Dane!F31</f>
        <v>0</v>
      </c>
      <c r="H23" s="21"/>
      <c r="I23" s="21"/>
      <c r="J23" s="21"/>
      <c r="K23" s="21"/>
      <c r="L23" s="21"/>
      <c r="M23" s="21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  <c r="AM23" s="44"/>
      <c r="AN23" s="44"/>
    </row>
    <row r="24" spans="2:40" ht="12.75" customHeight="1" x14ac:dyDescent="0.2">
      <c r="B24" s="32" t="s">
        <v>28</v>
      </c>
      <c r="C24" s="122" t="s">
        <v>1</v>
      </c>
      <c r="D24" s="36" t="s">
        <v>0</v>
      </c>
      <c r="E24" s="44"/>
      <c r="G24" s="6">
        <f>WACC!D38</f>
        <v>5.7589701897019063E-2</v>
      </c>
      <c r="H24" s="21"/>
      <c r="I24" s="22"/>
      <c r="J24" s="6"/>
      <c r="K24" s="21"/>
      <c r="L24" s="21"/>
      <c r="M24" s="21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4"/>
      <c r="AN24" s="44"/>
    </row>
    <row r="25" spans="2:40" ht="12.75" customHeight="1" x14ac:dyDescent="0.2">
      <c r="B25" s="32"/>
      <c r="C25" s="125"/>
      <c r="D25" s="12"/>
      <c r="H25" s="30"/>
      <c r="I25" s="21"/>
      <c r="J25" s="21"/>
      <c r="K25" s="21"/>
      <c r="L25" s="21"/>
      <c r="M25" s="21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4"/>
    </row>
    <row r="26" spans="2:40" ht="12.75" customHeight="1" x14ac:dyDescent="0.2">
      <c r="B26" s="33" t="s">
        <v>30</v>
      </c>
      <c r="C26" s="121" t="s">
        <v>3</v>
      </c>
      <c r="D26" s="35"/>
      <c r="E26" s="27"/>
      <c r="F26" s="27"/>
      <c r="G26" s="27"/>
      <c r="H26" s="25"/>
      <c r="I26" s="25"/>
      <c r="J26" s="25"/>
      <c r="K26" s="25"/>
      <c r="L26" s="25"/>
      <c r="M26" s="25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4"/>
    </row>
    <row r="27" spans="2:40" ht="12.75" customHeight="1" x14ac:dyDescent="0.2">
      <c r="B27" s="32" t="s">
        <v>31</v>
      </c>
      <c r="C27" s="122" t="s">
        <v>145</v>
      </c>
      <c r="D27" s="36" t="s">
        <v>149</v>
      </c>
      <c r="E27" s="44"/>
      <c r="G27" s="100">
        <f>Dane!F37</f>
        <v>1.008739215140551</v>
      </c>
      <c r="H27" s="21"/>
      <c r="I27" s="22"/>
      <c r="J27" s="31"/>
      <c r="K27" s="21"/>
      <c r="L27" s="21"/>
      <c r="M27" s="21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</row>
    <row r="28" spans="2:40" ht="12.75" customHeight="1" x14ac:dyDescent="0.2">
      <c r="B28" s="32"/>
      <c r="C28" s="122"/>
      <c r="D28" s="36"/>
      <c r="E28" s="44"/>
      <c r="G28" s="31"/>
      <c r="H28" s="21"/>
      <c r="I28" s="22"/>
      <c r="J28" s="31"/>
      <c r="K28" s="21"/>
      <c r="L28" s="21"/>
      <c r="M28" s="21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</row>
    <row r="29" spans="2:40" ht="12.75" customHeight="1" x14ac:dyDescent="0.2">
      <c r="B29" s="162" t="s">
        <v>7</v>
      </c>
      <c r="C29" s="163" t="s">
        <v>83</v>
      </c>
      <c r="D29" s="164"/>
      <c r="E29" s="166"/>
      <c r="F29" s="165"/>
      <c r="G29" s="166"/>
      <c r="H29" s="146"/>
      <c r="I29" s="214"/>
      <c r="J29" s="214"/>
      <c r="K29" s="214"/>
      <c r="L29" s="214"/>
      <c r="M29" s="214"/>
      <c r="N29" s="44"/>
      <c r="O29" s="44"/>
    </row>
    <row r="30" spans="2:40" ht="12.75" customHeight="1" x14ac:dyDescent="0.2">
      <c r="B30" s="33" t="s">
        <v>79</v>
      </c>
      <c r="C30" s="121" t="s">
        <v>89</v>
      </c>
      <c r="D30" s="35"/>
      <c r="E30" s="27"/>
      <c r="F30" s="27"/>
      <c r="G30" s="27"/>
      <c r="H30" s="25"/>
      <c r="I30" s="25"/>
      <c r="J30" s="25"/>
      <c r="K30" s="25"/>
      <c r="L30" s="25"/>
      <c r="M30" s="25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4"/>
    </row>
    <row r="31" spans="2:40" ht="12.75" customHeight="1" x14ac:dyDescent="0.2">
      <c r="B31" s="32" t="s">
        <v>71</v>
      </c>
      <c r="C31" s="122" t="s">
        <v>84</v>
      </c>
      <c r="D31" s="38" t="s">
        <v>142</v>
      </c>
      <c r="E31" s="44"/>
      <c r="G31" s="132">
        <f>E64</f>
        <v>0</v>
      </c>
      <c r="H31" s="21"/>
      <c r="I31" s="21"/>
      <c r="J31" s="21"/>
      <c r="K31" s="21"/>
      <c r="L31" s="21"/>
      <c r="M31" s="21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</row>
    <row r="32" spans="2:40" ht="12.75" customHeight="1" x14ac:dyDescent="0.2">
      <c r="B32" s="32" t="s">
        <v>80</v>
      </c>
      <c r="C32" s="122" t="s">
        <v>85</v>
      </c>
      <c r="D32" s="38" t="s">
        <v>142</v>
      </c>
      <c r="E32" s="44"/>
      <c r="G32" s="46">
        <v>0</v>
      </c>
      <c r="H32" s="21"/>
      <c r="I32" s="21"/>
      <c r="J32" s="21"/>
      <c r="K32" s="21"/>
      <c r="L32" s="21"/>
      <c r="M32" s="21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4"/>
    </row>
    <row r="33" spans="2:40" ht="12.75" customHeight="1" x14ac:dyDescent="0.2">
      <c r="B33" s="32" t="s">
        <v>81</v>
      </c>
      <c r="C33" s="122" t="s">
        <v>204</v>
      </c>
      <c r="D33" s="38" t="s">
        <v>142</v>
      </c>
      <c r="E33" s="44"/>
      <c r="G33" s="28">
        <f>IFERROR(SUM(E61:S61),"bd.")</f>
        <v>0</v>
      </c>
      <c r="H33" s="21"/>
      <c r="I33" s="21"/>
      <c r="J33" s="21"/>
      <c r="K33" s="21"/>
      <c r="L33" s="21"/>
      <c r="M33" s="21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4"/>
    </row>
    <row r="34" spans="2:40" ht="12.75" customHeight="1" x14ac:dyDescent="0.2">
      <c r="B34" s="32" t="s">
        <v>82</v>
      </c>
      <c r="C34" s="122" t="s">
        <v>205</v>
      </c>
      <c r="D34" s="38" t="s">
        <v>142</v>
      </c>
      <c r="E34" s="44"/>
      <c r="G34" s="28">
        <f>SUM(E62:S62)+E60</f>
        <v>0</v>
      </c>
      <c r="H34" s="47"/>
      <c r="I34" s="21"/>
      <c r="J34" s="21"/>
      <c r="K34" s="21"/>
      <c r="L34" s="21"/>
      <c r="M34" s="21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</row>
    <row r="35" spans="2:40" ht="12.75" customHeight="1" x14ac:dyDescent="0.25">
      <c r="B35" s="32" t="s">
        <v>86</v>
      </c>
      <c r="C35" s="147" t="s">
        <v>99</v>
      </c>
      <c r="D35" s="38" t="s">
        <v>142</v>
      </c>
      <c r="E35" s="44"/>
      <c r="G35" s="167" t="str">
        <f>IF(G31&lt;G32,"NPV &lt; 0","NPV ≥ 0")</f>
        <v>NPV ≥ 0</v>
      </c>
      <c r="H35" s="21"/>
      <c r="I35" s="21"/>
      <c r="J35" s="21"/>
      <c r="K35" s="21"/>
      <c r="L35" s="21"/>
      <c r="M35" s="21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4"/>
    </row>
    <row r="36" spans="2:40" ht="12.75" customHeight="1" x14ac:dyDescent="0.2">
      <c r="B36" s="32" t="s">
        <v>87</v>
      </c>
      <c r="C36" s="122" t="s">
        <v>121</v>
      </c>
      <c r="D36" s="38" t="s">
        <v>142</v>
      </c>
      <c r="E36" s="44"/>
      <c r="G36" s="168" t="str">
        <f>IF(G31&lt;0,-G31,"Brak")</f>
        <v>Brak</v>
      </c>
      <c r="H36" s="21"/>
      <c r="I36" s="21"/>
      <c r="J36" s="21"/>
      <c r="K36" s="21"/>
      <c r="L36" s="21"/>
      <c r="M36" s="21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  <c r="AM36" s="44"/>
      <c r="AN36" s="44"/>
    </row>
    <row r="37" spans="2:40" ht="12.75" customHeight="1" x14ac:dyDescent="0.2">
      <c r="B37" s="34"/>
      <c r="C37" s="126"/>
      <c r="D37" s="37"/>
      <c r="E37" s="25"/>
      <c r="F37" s="25"/>
      <c r="G37" s="25"/>
      <c r="H37" s="25"/>
      <c r="I37" s="22"/>
      <c r="J37" s="25"/>
      <c r="K37" s="25"/>
      <c r="L37" s="131"/>
      <c r="M37" s="25"/>
      <c r="N37" s="25"/>
      <c r="O37" s="25"/>
      <c r="P37" s="25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</row>
    <row r="38" spans="2:40" ht="12.75" customHeight="1" x14ac:dyDescent="0.2">
      <c r="B38" s="162" t="s">
        <v>8</v>
      </c>
      <c r="C38" s="163" t="s">
        <v>126</v>
      </c>
      <c r="D38" s="164"/>
      <c r="E38" s="166"/>
      <c r="F38" s="165"/>
      <c r="G38" s="166"/>
      <c r="H38" s="146"/>
      <c r="I38" s="214"/>
      <c r="J38" s="214"/>
      <c r="K38" s="214"/>
      <c r="L38" s="214"/>
      <c r="M38" s="214"/>
      <c r="N38" s="44"/>
      <c r="O38" s="44"/>
    </row>
    <row r="39" spans="2:40" ht="12.75" customHeight="1" x14ac:dyDescent="0.2">
      <c r="B39" s="33" t="s">
        <v>9</v>
      </c>
      <c r="C39" s="121" t="s">
        <v>127</v>
      </c>
      <c r="D39" s="35"/>
      <c r="E39" s="27"/>
      <c r="F39" s="27"/>
      <c r="H39" s="25"/>
      <c r="I39" s="25"/>
      <c r="J39" s="25"/>
      <c r="K39" s="25"/>
      <c r="L39" s="25"/>
      <c r="M39" s="25"/>
      <c r="N39" s="44"/>
      <c r="O39" s="44"/>
      <c r="P39" s="25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4"/>
      <c r="AM39" s="44"/>
      <c r="AN39" s="44"/>
    </row>
    <row r="40" spans="2:40" ht="12.75" customHeight="1" x14ac:dyDescent="0.2">
      <c r="B40" s="32" t="s">
        <v>10</v>
      </c>
      <c r="C40" s="127" t="s">
        <v>207</v>
      </c>
      <c r="D40" s="38" t="s">
        <v>172</v>
      </c>
      <c r="E40" s="25"/>
      <c r="F40" s="26"/>
      <c r="G40" s="169">
        <f>G13*G16*G17*G18*G19/10^3</f>
        <v>0</v>
      </c>
      <c r="H40" s="26"/>
      <c r="I40" s="25"/>
      <c r="N40" s="44"/>
      <c r="O40" s="44"/>
      <c r="P40" s="25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  <c r="AL40" s="44"/>
      <c r="AM40" s="44"/>
      <c r="AN40" s="44"/>
    </row>
    <row r="41" spans="2:40" ht="12.75" customHeight="1" x14ac:dyDescent="0.2">
      <c r="B41" s="34"/>
      <c r="C41" s="126"/>
      <c r="D41" s="37"/>
      <c r="E41" s="25"/>
      <c r="F41" s="25"/>
      <c r="G41" s="25"/>
      <c r="H41" s="25"/>
      <c r="J41" s="25"/>
      <c r="K41" s="25"/>
      <c r="L41" s="29"/>
      <c r="M41" s="25"/>
      <c r="N41" s="44"/>
      <c r="O41" s="25"/>
      <c r="P41" s="25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44"/>
      <c r="AM41" s="44"/>
      <c r="AN41" s="44"/>
    </row>
    <row r="42" spans="2:40" ht="12.75" customHeight="1" x14ac:dyDescent="0.2">
      <c r="B42" s="162" t="s">
        <v>11</v>
      </c>
      <c r="C42" s="163" t="s">
        <v>101</v>
      </c>
      <c r="D42" s="164"/>
      <c r="E42" s="165"/>
      <c r="F42" s="165"/>
      <c r="G42" s="165"/>
      <c r="H42" s="165"/>
      <c r="I42" s="165"/>
      <c r="J42" s="165"/>
      <c r="K42" s="165"/>
      <c r="L42" s="165"/>
      <c r="M42" s="165"/>
      <c r="N42" s="165"/>
      <c r="O42" s="165"/>
      <c r="P42" s="165"/>
      <c r="Q42" s="165"/>
      <c r="R42" s="165"/>
      <c r="S42" s="165"/>
    </row>
    <row r="43" spans="2:40" ht="12.75" customHeight="1" x14ac:dyDescent="0.2">
      <c r="B43" s="33" t="s">
        <v>12</v>
      </c>
      <c r="C43" s="121" t="s">
        <v>208</v>
      </c>
      <c r="D43" s="35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</row>
    <row r="44" spans="2:40" ht="12.75" customHeight="1" x14ac:dyDescent="0.2">
      <c r="B44" s="34" t="s">
        <v>13</v>
      </c>
      <c r="C44" s="126" t="s">
        <v>201</v>
      </c>
      <c r="D44" s="13"/>
      <c r="E44" s="3">
        <v>1</v>
      </c>
      <c r="F44" s="3">
        <f>IF(OR(E44+1&gt;Dane!$F$25,E44=-1),-1,E44+1)</f>
        <v>2</v>
      </c>
      <c r="G44" s="3">
        <f>IF(OR(F44+1&gt;Dane!$F$25,F44=-1),-1,F44+1)</f>
        <v>3</v>
      </c>
      <c r="H44" s="3">
        <f>IF(OR(G44+1&gt;Dane!$F$25,G44=-1),-1,G44+1)</f>
        <v>4</v>
      </c>
      <c r="I44" s="3">
        <f>IF(OR(H44+1&gt;Dane!$F$25,H44=-1),-1,H44+1)</f>
        <v>5</v>
      </c>
      <c r="J44" s="3">
        <f>IF(OR(I44+1&gt;Dane!$F$25,I44=-1),-1,I44+1)</f>
        <v>6</v>
      </c>
      <c r="K44" s="3">
        <f>IF(OR(J44+1&gt;Dane!$F$25,J44=-1),-1,J44+1)</f>
        <v>7</v>
      </c>
      <c r="L44" s="3">
        <f>IF(OR(K44+1&gt;Dane!$F$25,K44=-1),-1,K44+1)</f>
        <v>8</v>
      </c>
      <c r="M44" s="3">
        <f>IF(OR(L44+1&gt;Dane!$F$25,L44=-1),-1,L44+1)</f>
        <v>9</v>
      </c>
      <c r="N44" s="3">
        <f>IF(OR(M44+1&gt;Dane!$F$25,M44=-1),-1,M44+1)</f>
        <v>10</v>
      </c>
      <c r="O44" s="3">
        <f>IF(OR(N44+1&gt;Dane!$F$25,N44=-1),-1,N44+1)</f>
        <v>11</v>
      </c>
      <c r="P44" s="3">
        <f>IF(OR(O44+1&gt;Dane!$F$25,O44=-1),-1,O44+1)</f>
        <v>12</v>
      </c>
      <c r="Q44" s="3">
        <f>IF(OR(P44+1&gt;Dane!$F$25,P44=-1),-1,P44+1)</f>
        <v>13</v>
      </c>
      <c r="R44" s="3">
        <f>IF(OR(Q44+1&gt;Dane!$F$25,Q44=-1),-1,Q44+1)</f>
        <v>14</v>
      </c>
      <c r="S44" s="3">
        <f>IF(OR(R44+1&gt;Dane!$F$25,R44=-1),-1,R44+1)</f>
        <v>15</v>
      </c>
    </row>
    <row r="45" spans="2:40" ht="12.75" customHeight="1" x14ac:dyDescent="0.2">
      <c r="B45" s="34" t="s">
        <v>91</v>
      </c>
      <c r="C45" s="126" t="s">
        <v>6</v>
      </c>
      <c r="D45" s="36"/>
    </row>
    <row r="46" spans="2:40" ht="12.75" customHeight="1" x14ac:dyDescent="0.2">
      <c r="B46" s="24" t="s">
        <v>73</v>
      </c>
      <c r="C46" s="126" t="s">
        <v>4</v>
      </c>
      <c r="D46" s="36"/>
      <c r="E46" s="28">
        <f t="shared" ref="E46:S46" si="0">IF(E44=-1,0,E44-1)</f>
        <v>0</v>
      </c>
      <c r="F46" s="28">
        <f t="shared" si="0"/>
        <v>1</v>
      </c>
      <c r="G46" s="28">
        <f t="shared" si="0"/>
        <v>2</v>
      </c>
      <c r="H46" s="28">
        <f t="shared" si="0"/>
        <v>3</v>
      </c>
      <c r="I46" s="28">
        <f t="shared" si="0"/>
        <v>4</v>
      </c>
      <c r="J46" s="28">
        <f t="shared" si="0"/>
        <v>5</v>
      </c>
      <c r="K46" s="28">
        <f t="shared" si="0"/>
        <v>6</v>
      </c>
      <c r="L46" s="28">
        <f t="shared" si="0"/>
        <v>7</v>
      </c>
      <c r="M46" s="28">
        <f t="shared" si="0"/>
        <v>8</v>
      </c>
      <c r="N46" s="28">
        <f t="shared" si="0"/>
        <v>9</v>
      </c>
      <c r="O46" s="28">
        <f t="shared" si="0"/>
        <v>10</v>
      </c>
      <c r="P46" s="28">
        <f t="shared" si="0"/>
        <v>11</v>
      </c>
      <c r="Q46" s="28">
        <f t="shared" si="0"/>
        <v>12</v>
      </c>
      <c r="R46" s="28">
        <f t="shared" si="0"/>
        <v>13</v>
      </c>
      <c r="S46" s="28">
        <f t="shared" si="0"/>
        <v>14</v>
      </c>
    </row>
    <row r="47" spans="2:40" ht="12.75" customHeight="1" x14ac:dyDescent="0.2">
      <c r="B47" s="24" t="s">
        <v>90</v>
      </c>
      <c r="C47" s="128" t="s">
        <v>6</v>
      </c>
      <c r="D47" s="36"/>
      <c r="E47" s="46">
        <f t="shared" ref="E47:S47" si="1">IF(E44=-1,0,1/(1+$G$24)^E46)</f>
        <v>1</v>
      </c>
      <c r="F47" s="46">
        <f t="shared" si="1"/>
        <v>0.94554627206210562</v>
      </c>
      <c r="G47" s="46">
        <f t="shared" si="1"/>
        <v>0.89405775261054554</v>
      </c>
      <c r="H47" s="46">
        <f t="shared" si="1"/>
        <v>0.84537297498912567</v>
      </c>
      <c r="I47" s="46">
        <f t="shared" si="1"/>
        <v>0.79933926500301944</v>
      </c>
      <c r="J47" s="46">
        <f t="shared" si="1"/>
        <v>0.75581226213646868</v>
      </c>
      <c r="K47" s="46">
        <f t="shared" si="1"/>
        <v>0.7146554668419649</v>
      </c>
      <c r="L47" s="46">
        <f t="shared" si="1"/>
        <v>0.67573981248122361</v>
      </c>
      <c r="M47" s="46">
        <f t="shared" si="1"/>
        <v>0.6389432605755675</v>
      </c>
      <c r="N47" s="46">
        <f t="shared" si="1"/>
        <v>0.60415041809643433</v>
      </c>
      <c r="O47" s="46">
        <f t="shared" si="1"/>
        <v>0.57125217559584607</v>
      </c>
      <c r="P47" s="46">
        <f t="shared" si="1"/>
        <v>0.5401453650420196</v>
      </c>
      <c r="Q47" s="46">
        <f t="shared" si="1"/>
        <v>0.51073243628710685</v>
      </c>
      <c r="R47" s="46">
        <f t="shared" si="1"/>
        <v>0.48292115115247081</v>
      </c>
      <c r="S47" s="46">
        <f t="shared" si="1"/>
        <v>0.45662429417215938</v>
      </c>
    </row>
    <row r="48" spans="2:40" ht="12.75" customHeight="1" x14ac:dyDescent="0.2">
      <c r="B48" s="34"/>
      <c r="C48" s="126"/>
      <c r="D48" s="3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</row>
    <row r="49" spans="2:19" ht="12.75" customHeight="1" x14ac:dyDescent="0.2">
      <c r="B49" s="33" t="s">
        <v>103</v>
      </c>
      <c r="C49" s="121" t="s">
        <v>93</v>
      </c>
      <c r="D49" s="35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</row>
    <row r="50" spans="2:19" ht="12.75" customHeight="1" x14ac:dyDescent="0.2">
      <c r="B50" s="24" t="s">
        <v>105</v>
      </c>
      <c r="C50" s="128" t="s">
        <v>187</v>
      </c>
      <c r="D50" s="36" t="s">
        <v>148</v>
      </c>
      <c r="E50" s="28">
        <f>$G$13*$G$16</f>
        <v>0</v>
      </c>
      <c r="F50" s="28">
        <f t="shared" ref="F50:S50" si="2">$G$13*$G$16</f>
        <v>0</v>
      </c>
      <c r="G50" s="28">
        <f t="shared" si="2"/>
        <v>0</v>
      </c>
      <c r="H50" s="28">
        <f t="shared" si="2"/>
        <v>0</v>
      </c>
      <c r="I50" s="28">
        <f t="shared" si="2"/>
        <v>0</v>
      </c>
      <c r="J50" s="28">
        <f t="shared" si="2"/>
        <v>0</v>
      </c>
      <c r="K50" s="28">
        <f t="shared" si="2"/>
        <v>0</v>
      </c>
      <c r="L50" s="28">
        <f t="shared" si="2"/>
        <v>0</v>
      </c>
      <c r="M50" s="28">
        <f t="shared" si="2"/>
        <v>0</v>
      </c>
      <c r="N50" s="28">
        <f t="shared" si="2"/>
        <v>0</v>
      </c>
      <c r="O50" s="28">
        <f t="shared" si="2"/>
        <v>0</v>
      </c>
      <c r="P50" s="28">
        <f t="shared" si="2"/>
        <v>0</v>
      </c>
      <c r="Q50" s="28">
        <f t="shared" si="2"/>
        <v>0</v>
      </c>
      <c r="R50" s="28">
        <f t="shared" si="2"/>
        <v>0</v>
      </c>
      <c r="S50" s="28">
        <f t="shared" si="2"/>
        <v>0</v>
      </c>
    </row>
    <row r="51" spans="2:19" ht="12.75" customHeight="1" x14ac:dyDescent="0.2">
      <c r="B51" s="24" t="s">
        <v>106</v>
      </c>
      <c r="C51" s="128" t="s">
        <v>188</v>
      </c>
      <c r="D51" s="38" t="s">
        <v>142</v>
      </c>
      <c r="E51" s="28">
        <f>E50*Kalkulacja!G27</f>
        <v>0</v>
      </c>
      <c r="F51" s="28">
        <f t="shared" ref="F51:S51" si="3">F50*$G27</f>
        <v>0</v>
      </c>
      <c r="G51" s="28">
        <f t="shared" si="3"/>
        <v>0</v>
      </c>
      <c r="H51" s="28">
        <f t="shared" si="3"/>
        <v>0</v>
      </c>
      <c r="I51" s="28">
        <f t="shared" si="3"/>
        <v>0</v>
      </c>
      <c r="J51" s="28">
        <f t="shared" si="3"/>
        <v>0</v>
      </c>
      <c r="K51" s="28">
        <f t="shared" si="3"/>
        <v>0</v>
      </c>
      <c r="L51" s="28">
        <f t="shared" si="3"/>
        <v>0</v>
      </c>
      <c r="M51" s="28">
        <f t="shared" si="3"/>
        <v>0</v>
      </c>
      <c r="N51" s="28">
        <f t="shared" si="3"/>
        <v>0</v>
      </c>
      <c r="O51" s="28">
        <f t="shared" si="3"/>
        <v>0</v>
      </c>
      <c r="P51" s="28">
        <f t="shared" si="3"/>
        <v>0</v>
      </c>
      <c r="Q51" s="28">
        <f t="shared" si="3"/>
        <v>0</v>
      </c>
      <c r="R51" s="28">
        <f t="shared" si="3"/>
        <v>0</v>
      </c>
      <c r="S51" s="28">
        <f t="shared" si="3"/>
        <v>0</v>
      </c>
    </row>
    <row r="52" spans="2:19" ht="12.75" customHeight="1" x14ac:dyDescent="0.2">
      <c r="B52" s="24" t="s">
        <v>107</v>
      </c>
      <c r="C52" s="128" t="s">
        <v>94</v>
      </c>
      <c r="D52" s="38" t="s">
        <v>142</v>
      </c>
      <c r="E52" s="28">
        <f>IFERROR(E51,"bd.")</f>
        <v>0</v>
      </c>
      <c r="F52" s="28">
        <f t="shared" ref="F52:S52" si="4">IFERROR(F51,"bd.")</f>
        <v>0</v>
      </c>
      <c r="G52" s="28">
        <f t="shared" si="4"/>
        <v>0</v>
      </c>
      <c r="H52" s="28">
        <f t="shared" si="4"/>
        <v>0</v>
      </c>
      <c r="I52" s="28">
        <f t="shared" si="4"/>
        <v>0</v>
      </c>
      <c r="J52" s="28">
        <f t="shared" si="4"/>
        <v>0</v>
      </c>
      <c r="K52" s="28">
        <f t="shared" si="4"/>
        <v>0</v>
      </c>
      <c r="L52" s="28">
        <f t="shared" si="4"/>
        <v>0</v>
      </c>
      <c r="M52" s="28">
        <f t="shared" si="4"/>
        <v>0</v>
      </c>
      <c r="N52" s="28">
        <f t="shared" si="4"/>
        <v>0</v>
      </c>
      <c r="O52" s="28">
        <f t="shared" si="4"/>
        <v>0</v>
      </c>
      <c r="P52" s="28">
        <f t="shared" si="4"/>
        <v>0</v>
      </c>
      <c r="Q52" s="28">
        <f t="shared" si="4"/>
        <v>0</v>
      </c>
      <c r="R52" s="28">
        <f t="shared" si="4"/>
        <v>0</v>
      </c>
      <c r="S52" s="28">
        <f t="shared" si="4"/>
        <v>0</v>
      </c>
    </row>
    <row r="53" spans="2:19" ht="12.75" customHeight="1" x14ac:dyDescent="0.2">
      <c r="B53" s="52"/>
      <c r="C53" s="128"/>
      <c r="D53" s="36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</row>
    <row r="54" spans="2:19" ht="12.75" customHeight="1" x14ac:dyDescent="0.2">
      <c r="B54" s="24" t="s">
        <v>108</v>
      </c>
      <c r="C54" s="128" t="s">
        <v>131</v>
      </c>
      <c r="D54" s="38" t="s">
        <v>142</v>
      </c>
      <c r="E54" s="28">
        <f t="shared" ref="E54:S54" si="5">$G$23</f>
        <v>0</v>
      </c>
      <c r="F54" s="28">
        <f t="shared" si="5"/>
        <v>0</v>
      </c>
      <c r="G54" s="28">
        <f t="shared" si="5"/>
        <v>0</v>
      </c>
      <c r="H54" s="28">
        <f t="shared" si="5"/>
        <v>0</v>
      </c>
      <c r="I54" s="28">
        <f t="shared" si="5"/>
        <v>0</v>
      </c>
      <c r="J54" s="28">
        <f t="shared" si="5"/>
        <v>0</v>
      </c>
      <c r="K54" s="28">
        <f t="shared" si="5"/>
        <v>0</v>
      </c>
      <c r="L54" s="28">
        <f t="shared" si="5"/>
        <v>0</v>
      </c>
      <c r="M54" s="28">
        <f t="shared" si="5"/>
        <v>0</v>
      </c>
      <c r="N54" s="28">
        <f t="shared" si="5"/>
        <v>0</v>
      </c>
      <c r="O54" s="28">
        <f t="shared" si="5"/>
        <v>0</v>
      </c>
      <c r="P54" s="28">
        <f t="shared" si="5"/>
        <v>0</v>
      </c>
      <c r="Q54" s="28">
        <f t="shared" si="5"/>
        <v>0</v>
      </c>
      <c r="R54" s="28">
        <f t="shared" si="5"/>
        <v>0</v>
      </c>
      <c r="S54" s="28">
        <f t="shared" si="5"/>
        <v>0</v>
      </c>
    </row>
    <row r="55" spans="2:19" ht="12.75" customHeight="1" x14ac:dyDescent="0.2">
      <c r="B55" s="24" t="s">
        <v>109</v>
      </c>
      <c r="C55" s="128" t="s">
        <v>95</v>
      </c>
      <c r="D55" s="38" t="s">
        <v>142</v>
      </c>
      <c r="E55" s="28">
        <f>E54</f>
        <v>0</v>
      </c>
      <c r="F55" s="28">
        <f t="shared" ref="F55:S55" si="6">F54</f>
        <v>0</v>
      </c>
      <c r="G55" s="28">
        <f t="shared" si="6"/>
        <v>0</v>
      </c>
      <c r="H55" s="28">
        <f t="shared" si="6"/>
        <v>0</v>
      </c>
      <c r="I55" s="28">
        <f t="shared" si="6"/>
        <v>0</v>
      </c>
      <c r="J55" s="28">
        <f t="shared" si="6"/>
        <v>0</v>
      </c>
      <c r="K55" s="28">
        <f t="shared" si="6"/>
        <v>0</v>
      </c>
      <c r="L55" s="28">
        <f t="shared" si="6"/>
        <v>0</v>
      </c>
      <c r="M55" s="28">
        <f t="shared" si="6"/>
        <v>0</v>
      </c>
      <c r="N55" s="28">
        <f t="shared" si="6"/>
        <v>0</v>
      </c>
      <c r="O55" s="28">
        <f t="shared" si="6"/>
        <v>0</v>
      </c>
      <c r="P55" s="28">
        <f t="shared" si="6"/>
        <v>0</v>
      </c>
      <c r="Q55" s="28">
        <f t="shared" si="6"/>
        <v>0</v>
      </c>
      <c r="R55" s="28">
        <f t="shared" si="6"/>
        <v>0</v>
      </c>
      <c r="S55" s="28">
        <f t="shared" si="6"/>
        <v>0</v>
      </c>
    </row>
    <row r="56" spans="2:19" ht="12.75" customHeight="1" x14ac:dyDescent="0.2">
      <c r="B56" s="52"/>
      <c r="C56" s="128"/>
      <c r="D56" s="3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</row>
    <row r="57" spans="2:19" ht="12.75" customHeight="1" x14ac:dyDescent="0.2">
      <c r="B57" s="24" t="s">
        <v>110</v>
      </c>
      <c r="C57" s="128" t="s">
        <v>100</v>
      </c>
      <c r="D57" s="38" t="s">
        <v>142</v>
      </c>
      <c r="E57" s="28">
        <f t="shared" ref="E57:S57" si="7">IFERROR(E52-E55,"bd.")</f>
        <v>0</v>
      </c>
      <c r="F57" s="28">
        <f t="shared" si="7"/>
        <v>0</v>
      </c>
      <c r="G57" s="28">
        <f t="shared" si="7"/>
        <v>0</v>
      </c>
      <c r="H57" s="28">
        <f t="shared" si="7"/>
        <v>0</v>
      </c>
      <c r="I57" s="28">
        <f t="shared" si="7"/>
        <v>0</v>
      </c>
      <c r="J57" s="28">
        <f t="shared" si="7"/>
        <v>0</v>
      </c>
      <c r="K57" s="28">
        <f t="shared" si="7"/>
        <v>0</v>
      </c>
      <c r="L57" s="28">
        <f t="shared" si="7"/>
        <v>0</v>
      </c>
      <c r="M57" s="28">
        <f t="shared" si="7"/>
        <v>0</v>
      </c>
      <c r="N57" s="28">
        <f t="shared" si="7"/>
        <v>0</v>
      </c>
      <c r="O57" s="28">
        <f t="shared" si="7"/>
        <v>0</v>
      </c>
      <c r="P57" s="28">
        <f t="shared" si="7"/>
        <v>0</v>
      </c>
      <c r="Q57" s="28">
        <f t="shared" si="7"/>
        <v>0</v>
      </c>
      <c r="R57" s="28">
        <f t="shared" si="7"/>
        <v>0</v>
      </c>
      <c r="S57" s="28">
        <f t="shared" si="7"/>
        <v>0</v>
      </c>
    </row>
    <row r="58" spans="2:19" ht="12.75" customHeight="1" x14ac:dyDescent="0.2">
      <c r="B58" s="24"/>
      <c r="C58" s="128"/>
      <c r="D58" s="3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</row>
    <row r="59" spans="2:19" ht="12.75" customHeight="1" x14ac:dyDescent="0.2">
      <c r="B59" s="33" t="s">
        <v>104</v>
      </c>
      <c r="C59" s="121" t="s">
        <v>92</v>
      </c>
      <c r="D59" s="35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0"/>
    </row>
    <row r="60" spans="2:19" ht="12.75" customHeight="1" x14ac:dyDescent="0.2">
      <c r="B60" s="24" t="s">
        <v>111</v>
      </c>
      <c r="C60" s="128" t="s">
        <v>203</v>
      </c>
      <c r="D60" s="38" t="s">
        <v>142</v>
      </c>
      <c r="E60" s="28">
        <f>G22</f>
        <v>0</v>
      </c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</row>
    <row r="61" spans="2:19" ht="12.75" customHeight="1" x14ac:dyDescent="0.2">
      <c r="B61" s="24" t="s">
        <v>112</v>
      </c>
      <c r="C61" s="128" t="s">
        <v>96</v>
      </c>
      <c r="D61" s="38" t="s">
        <v>142</v>
      </c>
      <c r="E61" s="28">
        <f t="shared" ref="E61:S61" si="8">IFERROR(E52*E47,"bd.")</f>
        <v>0</v>
      </c>
      <c r="F61" s="28">
        <f t="shared" si="8"/>
        <v>0</v>
      </c>
      <c r="G61" s="28">
        <f t="shared" si="8"/>
        <v>0</v>
      </c>
      <c r="H61" s="28">
        <f t="shared" si="8"/>
        <v>0</v>
      </c>
      <c r="I61" s="28">
        <f t="shared" si="8"/>
        <v>0</v>
      </c>
      <c r="J61" s="28">
        <f t="shared" si="8"/>
        <v>0</v>
      </c>
      <c r="K61" s="28">
        <f t="shared" si="8"/>
        <v>0</v>
      </c>
      <c r="L61" s="28">
        <f t="shared" si="8"/>
        <v>0</v>
      </c>
      <c r="M61" s="28">
        <f t="shared" si="8"/>
        <v>0</v>
      </c>
      <c r="N61" s="28">
        <f t="shared" si="8"/>
        <v>0</v>
      </c>
      <c r="O61" s="28">
        <f t="shared" si="8"/>
        <v>0</v>
      </c>
      <c r="P61" s="28">
        <f t="shared" si="8"/>
        <v>0</v>
      </c>
      <c r="Q61" s="28">
        <f t="shared" si="8"/>
        <v>0</v>
      </c>
      <c r="R61" s="28">
        <f t="shared" si="8"/>
        <v>0</v>
      </c>
      <c r="S61" s="28">
        <f t="shared" si="8"/>
        <v>0</v>
      </c>
    </row>
    <row r="62" spans="2:19" ht="12.75" customHeight="1" x14ac:dyDescent="0.2">
      <c r="B62" s="24" t="s">
        <v>113</v>
      </c>
      <c r="C62" s="128" t="s">
        <v>97</v>
      </c>
      <c r="D62" s="38" t="s">
        <v>142</v>
      </c>
      <c r="E62" s="28">
        <f t="shared" ref="E62:S62" si="9">E55*E47</f>
        <v>0</v>
      </c>
      <c r="F62" s="28">
        <f t="shared" si="9"/>
        <v>0</v>
      </c>
      <c r="G62" s="28">
        <f t="shared" si="9"/>
        <v>0</v>
      </c>
      <c r="H62" s="28">
        <f t="shared" si="9"/>
        <v>0</v>
      </c>
      <c r="I62" s="28">
        <f t="shared" si="9"/>
        <v>0</v>
      </c>
      <c r="J62" s="28">
        <f t="shared" si="9"/>
        <v>0</v>
      </c>
      <c r="K62" s="28">
        <f t="shared" si="9"/>
        <v>0</v>
      </c>
      <c r="L62" s="28">
        <f t="shared" si="9"/>
        <v>0</v>
      </c>
      <c r="M62" s="28">
        <f t="shared" si="9"/>
        <v>0</v>
      </c>
      <c r="N62" s="28">
        <f t="shared" si="9"/>
        <v>0</v>
      </c>
      <c r="O62" s="28">
        <f t="shared" si="9"/>
        <v>0</v>
      </c>
      <c r="P62" s="28">
        <f t="shared" si="9"/>
        <v>0</v>
      </c>
      <c r="Q62" s="28">
        <f t="shared" si="9"/>
        <v>0</v>
      </c>
      <c r="R62" s="28">
        <f t="shared" si="9"/>
        <v>0</v>
      </c>
      <c r="S62" s="28">
        <f t="shared" si="9"/>
        <v>0</v>
      </c>
    </row>
    <row r="63" spans="2:19" ht="12.75" customHeight="1" x14ac:dyDescent="0.2">
      <c r="B63" s="24" t="s">
        <v>114</v>
      </c>
      <c r="C63" s="128" t="s">
        <v>98</v>
      </c>
      <c r="D63" s="38" t="s">
        <v>142</v>
      </c>
      <c r="E63" s="28">
        <f>IFERROR(E61-E62,"bd.")</f>
        <v>0</v>
      </c>
      <c r="F63" s="28">
        <f t="shared" ref="F63:S63" si="10">IFERROR(F61-F62,"bd.")</f>
        <v>0</v>
      </c>
      <c r="G63" s="28">
        <f t="shared" si="10"/>
        <v>0</v>
      </c>
      <c r="H63" s="28">
        <f t="shared" si="10"/>
        <v>0</v>
      </c>
      <c r="I63" s="28">
        <f t="shared" si="10"/>
        <v>0</v>
      </c>
      <c r="J63" s="28">
        <f t="shared" si="10"/>
        <v>0</v>
      </c>
      <c r="K63" s="28">
        <f t="shared" si="10"/>
        <v>0</v>
      </c>
      <c r="L63" s="28">
        <f t="shared" si="10"/>
        <v>0</v>
      </c>
      <c r="M63" s="28">
        <f t="shared" si="10"/>
        <v>0</v>
      </c>
      <c r="N63" s="28">
        <f t="shared" si="10"/>
        <v>0</v>
      </c>
      <c r="O63" s="28">
        <f t="shared" si="10"/>
        <v>0</v>
      </c>
      <c r="P63" s="28">
        <f t="shared" si="10"/>
        <v>0</v>
      </c>
      <c r="Q63" s="28">
        <f t="shared" si="10"/>
        <v>0</v>
      </c>
      <c r="R63" s="28">
        <f t="shared" si="10"/>
        <v>0</v>
      </c>
      <c r="S63" s="28">
        <f t="shared" si="10"/>
        <v>0</v>
      </c>
    </row>
    <row r="64" spans="2:19" ht="25.5" x14ac:dyDescent="0.2">
      <c r="B64" s="14" t="s">
        <v>115</v>
      </c>
      <c r="C64" s="129" t="s">
        <v>102</v>
      </c>
      <c r="D64" s="187" t="s">
        <v>142</v>
      </c>
      <c r="E64" s="91">
        <f>IFERROR(SUM(E63:S63)-E60,"bd.")</f>
        <v>0</v>
      </c>
      <c r="F64" s="92"/>
      <c r="G64" s="92"/>
      <c r="H64" s="92"/>
      <c r="I64" s="92"/>
      <c r="J64" s="92"/>
      <c r="K64" s="92"/>
      <c r="L64" s="92"/>
      <c r="M64" s="92"/>
      <c r="N64" s="92"/>
      <c r="O64" s="92"/>
      <c r="P64" s="92"/>
      <c r="Q64" s="92"/>
      <c r="R64" s="92"/>
      <c r="S64" s="92"/>
    </row>
    <row r="65" spans="2:40" x14ac:dyDescent="0.2">
      <c r="B65" s="32"/>
      <c r="C65" s="2"/>
      <c r="D65" s="36"/>
      <c r="E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</row>
    <row r="66" spans="2:40" x14ac:dyDescent="0.2">
      <c r="B66" s="32" t="s">
        <v>59</v>
      </c>
      <c r="C66" s="2"/>
      <c r="D66" s="36"/>
      <c r="E66" s="28"/>
      <c r="F66" s="28"/>
      <c r="G66" s="28"/>
      <c r="H66" s="28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</row>
    <row r="67" spans="2:40" x14ac:dyDescent="0.2">
      <c r="B67" s="17" t="s">
        <v>125</v>
      </c>
      <c r="D67" s="52"/>
    </row>
    <row r="68" spans="2:40" x14ac:dyDescent="0.2">
      <c r="B68" s="45"/>
      <c r="C68" s="45"/>
      <c r="D68" s="36"/>
      <c r="E68" s="46"/>
      <c r="F68" s="46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AM68" s="44"/>
      <c r="AN68" s="46"/>
    </row>
  </sheetData>
  <sheetProtection password="D824" sheet="1" objects="1" scenarios="1"/>
  <customSheetViews>
    <customSheetView guid="{60DF9BBC-D692-423C-89AD-8A976478AE41}" scale="70" showGridLines="0" topLeftCell="A118">
      <selection activeCell="F150" sqref="F150"/>
      <pageMargins left="0.7" right="0.7" top="0.75" bottom="0.75" header="0.3" footer="0.3"/>
      <pageSetup paperSize="9" orientation="portrait" r:id="rId1"/>
    </customSheetView>
    <customSheetView guid="{C75A5F74-EB46-4EC1-8574-01D849F3C8D4}" scale="70" showGridLines="0" topLeftCell="A118">
      <selection activeCell="F150" sqref="F150"/>
    </customSheetView>
  </customSheetViews>
  <mergeCells count="8">
    <mergeCell ref="I9:M9"/>
    <mergeCell ref="I29:M29"/>
    <mergeCell ref="F9:G9"/>
    <mergeCell ref="I38:M38"/>
    <mergeCell ref="F10:G10"/>
    <mergeCell ref="F11:G11"/>
    <mergeCell ref="I11:J11"/>
    <mergeCell ref="L11:M11"/>
  </mergeCells>
  <conditionalFormatting sqref="C7">
    <cfRule type="cellIs" dxfId="0" priority="2" operator="equal">
      <formula>"Wystąpiły błędy w kalkulacjach popraw dane wejściowe"</formula>
    </cfRule>
  </conditionalFormatting>
  <pageMargins left="0.19685039370078741" right="0.19685039370078741" top="1.3385826771653544" bottom="0.74803149606299213" header="0.31496062992125984" footer="0.31496062992125984"/>
  <pageSetup paperSize="9" scale="42" orientation="landscape" r:id="rId2"/>
  <colBreaks count="2" manualBreakCount="2">
    <brk id="1" max="1048575" man="1"/>
    <brk id="3" max="66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E8"/>
  <sheetViews>
    <sheetView zoomScale="80" zoomScaleNormal="80" workbookViewId="0">
      <selection activeCell="E18" sqref="E18"/>
    </sheetView>
  </sheetViews>
  <sheetFormatPr defaultRowHeight="12.75" x14ac:dyDescent="0.2"/>
  <cols>
    <col min="1" max="1" width="2.5703125" style="52" customWidth="1"/>
    <col min="2" max="2" width="6.140625" style="52" customWidth="1"/>
    <col min="3" max="3" width="54.28515625" style="52" customWidth="1"/>
    <col min="4" max="5" width="18.85546875" style="52" customWidth="1"/>
    <col min="6" max="16384" width="9.140625" style="52"/>
  </cols>
  <sheetData>
    <row r="2" spans="2:5" x14ac:dyDescent="0.2">
      <c r="B2" s="5" t="s">
        <v>209</v>
      </c>
      <c r="C2" s="44"/>
      <c r="D2" s="44"/>
      <c r="E2" s="44"/>
    </row>
    <row r="3" spans="2:5" ht="17.25" customHeight="1" x14ac:dyDescent="0.2">
      <c r="B3" s="170" t="s">
        <v>175</v>
      </c>
      <c r="C3" s="171" t="s">
        <v>176</v>
      </c>
      <c r="D3" s="171" t="s">
        <v>173</v>
      </c>
      <c r="E3" s="171" t="s">
        <v>174</v>
      </c>
    </row>
    <row r="4" spans="2:5" ht="22.5" customHeight="1" x14ac:dyDescent="0.2">
      <c r="B4" s="36">
        <v>1</v>
      </c>
      <c r="C4" s="140" t="s">
        <v>180</v>
      </c>
      <c r="D4" s="144">
        <f>ROUND(18.7/3.5,1)</f>
        <v>5.3</v>
      </c>
      <c r="E4" s="144">
        <f>ROUND(23.4/3.5,1)</f>
        <v>6.7</v>
      </c>
    </row>
    <row r="5" spans="2:5" ht="22.5" customHeight="1" x14ac:dyDescent="0.2">
      <c r="B5" s="36">
        <v>2</v>
      </c>
      <c r="C5" s="138" t="s">
        <v>181</v>
      </c>
      <c r="D5" s="144">
        <f>ROUND(2.5/3.5,1)</f>
        <v>0.7</v>
      </c>
      <c r="E5" s="144">
        <f>ROUND(4.9/3.5,1)</f>
        <v>1.4</v>
      </c>
    </row>
    <row r="6" spans="2:5" x14ac:dyDescent="0.2">
      <c r="B6" s="139"/>
      <c r="C6" s="141"/>
      <c r="D6" s="142"/>
      <c r="E6" s="143"/>
    </row>
    <row r="7" spans="2:5" ht="41.25" customHeight="1" x14ac:dyDescent="0.2">
      <c r="B7" s="220" t="s">
        <v>210</v>
      </c>
      <c r="C7" s="220"/>
      <c r="D7" s="220"/>
      <c r="E7" s="220"/>
    </row>
    <row r="8" spans="2:5" x14ac:dyDescent="0.2">
      <c r="B8" s="22"/>
      <c r="C8" s="22"/>
      <c r="D8" s="22"/>
      <c r="E8" s="22"/>
    </row>
  </sheetData>
  <sheetProtection password="D824" sheet="1" objects="1" scenarios="1"/>
  <mergeCells count="1">
    <mergeCell ref="B7:E7"/>
  </mergeCells>
  <pageMargins left="0.7" right="0.7" top="0.75" bottom="0.75" header="0.3" footer="0.3"/>
  <pageSetup paperSize="9" scale="9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pageSetUpPr fitToPage="1"/>
  </sheetPr>
  <dimension ref="B2:E40"/>
  <sheetViews>
    <sheetView showGridLines="0" zoomScale="80" zoomScaleNormal="80" workbookViewId="0">
      <selection activeCell="I25" sqref="I25"/>
    </sheetView>
  </sheetViews>
  <sheetFormatPr defaultRowHeight="12.75" x14ac:dyDescent="0.2"/>
  <cols>
    <col min="1" max="1" width="3.7109375" style="42" customWidth="1"/>
    <col min="2" max="2" width="54.7109375" style="42" customWidth="1"/>
    <col min="3" max="3" width="15" style="42" customWidth="1"/>
    <col min="4" max="4" width="12.5703125" style="82" customWidth="1"/>
    <col min="5" max="16384" width="9.140625" style="42"/>
  </cols>
  <sheetData>
    <row r="2" spans="2:5" x14ac:dyDescent="0.2">
      <c r="B2" s="174" t="s">
        <v>39</v>
      </c>
      <c r="C2" s="172"/>
      <c r="D2" s="173"/>
    </row>
    <row r="3" spans="2:5" x14ac:dyDescent="0.2">
      <c r="B3" s="55"/>
      <c r="C3" s="56"/>
      <c r="D3" s="57"/>
    </row>
    <row r="4" spans="2:5" x14ac:dyDescent="0.2">
      <c r="B4" s="58" t="s">
        <v>40</v>
      </c>
      <c r="C4" s="59"/>
      <c r="D4" s="60"/>
    </row>
    <row r="5" spans="2:5" x14ac:dyDescent="0.2">
      <c r="B5" s="61" t="s">
        <v>41</v>
      </c>
      <c r="C5" s="61"/>
      <c r="D5" s="62">
        <v>0.8</v>
      </c>
    </row>
    <row r="6" spans="2:5" x14ac:dyDescent="0.2">
      <c r="B6" s="61" t="s">
        <v>42</v>
      </c>
      <c r="C6" s="59"/>
      <c r="D6" s="63">
        <f>D9/D8</f>
        <v>1</v>
      </c>
    </row>
    <row r="7" spans="2:5" x14ac:dyDescent="0.2">
      <c r="B7" s="61" t="s">
        <v>43</v>
      </c>
      <c r="C7" s="61"/>
      <c r="D7" s="57"/>
    </row>
    <row r="8" spans="2:5" x14ac:dyDescent="0.2">
      <c r="B8" s="64" t="s">
        <v>44</v>
      </c>
      <c r="C8" s="61"/>
      <c r="D8" s="65">
        <v>0.5</v>
      </c>
    </row>
    <row r="9" spans="2:5" x14ac:dyDescent="0.2">
      <c r="B9" s="64" t="s">
        <v>45</v>
      </c>
      <c r="C9" s="61"/>
      <c r="D9" s="65">
        <v>0.5</v>
      </c>
    </row>
    <row r="10" spans="2:5" x14ac:dyDescent="0.2">
      <c r="B10" s="61" t="s">
        <v>63</v>
      </c>
      <c r="C10" s="59"/>
      <c r="D10" s="65">
        <v>0.19</v>
      </c>
    </row>
    <row r="11" spans="2:5" x14ac:dyDescent="0.2">
      <c r="B11" s="58" t="s">
        <v>46</v>
      </c>
      <c r="C11" s="66"/>
      <c r="D11" s="69">
        <f>D5*((1+(1-D10)*D6))</f>
        <v>1.4480000000000002</v>
      </c>
    </row>
    <row r="12" spans="2:5" x14ac:dyDescent="0.2">
      <c r="B12" s="67" t="s">
        <v>139</v>
      </c>
      <c r="C12" s="59"/>
      <c r="D12" s="68"/>
    </row>
    <row r="13" spans="2:5" x14ac:dyDescent="0.2">
      <c r="B13" s="55"/>
      <c r="C13" s="56"/>
      <c r="D13" s="57"/>
    </row>
    <row r="14" spans="2:5" x14ac:dyDescent="0.2">
      <c r="B14" s="58" t="s">
        <v>39</v>
      </c>
      <c r="C14" s="59"/>
      <c r="D14" s="57"/>
    </row>
    <row r="15" spans="2:5" x14ac:dyDescent="0.2">
      <c r="B15" s="61" t="s">
        <v>47</v>
      </c>
      <c r="C15" s="59"/>
      <c r="D15" s="83">
        <v>3.3570000000000003E-2</v>
      </c>
      <c r="E15" s="42" t="s">
        <v>211</v>
      </c>
    </row>
    <row r="16" spans="2:5" x14ac:dyDescent="0.2">
      <c r="B16" s="61" t="s">
        <v>48</v>
      </c>
      <c r="C16" s="61"/>
      <c r="D16" s="69">
        <f>D11</f>
        <v>1.4480000000000002</v>
      </c>
    </row>
    <row r="17" spans="2:4" x14ac:dyDescent="0.2">
      <c r="B17" s="61" t="s">
        <v>49</v>
      </c>
      <c r="C17" s="61"/>
      <c r="D17" s="83">
        <v>4.4999999999999998E-2</v>
      </c>
    </row>
    <row r="18" spans="2:4" x14ac:dyDescent="0.2">
      <c r="B18" s="61" t="s">
        <v>50</v>
      </c>
      <c r="C18" s="61"/>
      <c r="D18" s="65">
        <v>0</v>
      </c>
    </row>
    <row r="19" spans="2:4" x14ac:dyDescent="0.2">
      <c r="B19" s="55"/>
      <c r="C19" s="56"/>
      <c r="D19" s="57"/>
    </row>
    <row r="20" spans="2:4" x14ac:dyDescent="0.2">
      <c r="B20" s="58" t="s">
        <v>51</v>
      </c>
      <c r="C20" s="70"/>
      <c r="D20" s="71">
        <f>D15+D16*D17+D18</f>
        <v>9.8730000000000012E-2</v>
      </c>
    </row>
    <row r="21" spans="2:4" x14ac:dyDescent="0.2">
      <c r="B21" s="58" t="s">
        <v>61</v>
      </c>
      <c r="C21" s="70"/>
      <c r="D21" s="71">
        <f>D20/0.81</f>
        <v>0.12188888888888889</v>
      </c>
    </row>
    <row r="22" spans="2:4" x14ac:dyDescent="0.2">
      <c r="B22" s="67" t="s">
        <v>34</v>
      </c>
      <c r="C22" s="59"/>
      <c r="D22" s="68"/>
    </row>
    <row r="23" spans="2:4" x14ac:dyDescent="0.2">
      <c r="B23" s="55"/>
      <c r="C23" s="56"/>
      <c r="D23" s="57"/>
    </row>
    <row r="24" spans="2:4" x14ac:dyDescent="0.2">
      <c r="B24" s="174" t="s">
        <v>60</v>
      </c>
      <c r="C24" s="172"/>
      <c r="D24" s="173"/>
    </row>
    <row r="25" spans="2:4" x14ac:dyDescent="0.2">
      <c r="B25" s="55"/>
      <c r="C25" s="56"/>
      <c r="D25" s="57"/>
    </row>
    <row r="26" spans="2:4" x14ac:dyDescent="0.2">
      <c r="B26" s="61" t="s">
        <v>47</v>
      </c>
      <c r="C26" s="61"/>
      <c r="D26" s="63">
        <f>D15</f>
        <v>3.3570000000000003E-2</v>
      </c>
    </row>
    <row r="27" spans="2:4" x14ac:dyDescent="0.2">
      <c r="B27" s="61" t="s">
        <v>52</v>
      </c>
      <c r="C27" s="61"/>
      <c r="D27" s="83">
        <v>1.26E-2</v>
      </c>
    </row>
    <row r="28" spans="2:4" x14ac:dyDescent="0.2">
      <c r="B28" s="58" t="s">
        <v>53</v>
      </c>
      <c r="C28" s="59"/>
      <c r="D28" s="71">
        <f>D26+D27</f>
        <v>4.6170000000000003E-2</v>
      </c>
    </row>
    <row r="29" spans="2:4" x14ac:dyDescent="0.2">
      <c r="B29" s="58" t="s">
        <v>54</v>
      </c>
      <c r="C29" s="72"/>
      <c r="D29" s="71">
        <f>D28*(1-D10)</f>
        <v>3.7397700000000006E-2</v>
      </c>
    </row>
    <row r="30" spans="2:4" x14ac:dyDescent="0.2">
      <c r="B30" s="67" t="s">
        <v>62</v>
      </c>
      <c r="C30" s="67"/>
      <c r="D30" s="73"/>
    </row>
    <row r="31" spans="2:4" x14ac:dyDescent="0.2">
      <c r="B31" s="55"/>
      <c r="C31" s="56"/>
      <c r="D31" s="74"/>
    </row>
    <row r="32" spans="2:4" x14ac:dyDescent="0.2">
      <c r="B32" s="58" t="s">
        <v>55</v>
      </c>
      <c r="C32" s="59"/>
      <c r="D32" s="75">
        <f>D20/(1-D10)*D8+D28*D9</f>
        <v>8.4029444444444448E-2</v>
      </c>
    </row>
    <row r="33" spans="2:4" x14ac:dyDescent="0.2">
      <c r="B33" s="67" t="s">
        <v>36</v>
      </c>
      <c r="C33" s="76"/>
      <c r="D33" s="77"/>
    </row>
    <row r="34" spans="2:4" x14ac:dyDescent="0.2">
      <c r="B34" s="58" t="s">
        <v>56</v>
      </c>
      <c r="C34" s="59"/>
      <c r="D34" s="75">
        <f>D20*D8+D29*D9</f>
        <v>6.8063850000000009E-2</v>
      </c>
    </row>
    <row r="35" spans="2:4" x14ac:dyDescent="0.2">
      <c r="B35" s="67" t="s">
        <v>37</v>
      </c>
      <c r="C35" s="76"/>
      <c r="D35" s="77"/>
    </row>
    <row r="36" spans="2:4" x14ac:dyDescent="0.2">
      <c r="B36" s="67"/>
      <c r="C36" s="67"/>
      <c r="D36" s="73"/>
    </row>
    <row r="37" spans="2:4" x14ac:dyDescent="0.2">
      <c r="B37" s="61" t="s">
        <v>57</v>
      </c>
      <c r="C37" s="61"/>
      <c r="D37" s="63">
        <f>Dane!$F$48</f>
        <v>2.5000000000000001E-2</v>
      </c>
    </row>
    <row r="38" spans="2:4" x14ac:dyDescent="0.2">
      <c r="B38" s="78" t="s">
        <v>58</v>
      </c>
      <c r="C38" s="79"/>
      <c r="D38" s="80">
        <f>(1+D32)/(1+D37)-1</f>
        <v>5.7589701897019063E-2</v>
      </c>
    </row>
    <row r="39" spans="2:4" x14ac:dyDescent="0.2">
      <c r="B39" s="58" t="s">
        <v>77</v>
      </c>
      <c r="C39" s="59"/>
      <c r="D39" s="75">
        <f>(1+D34)/(1+D37)-1</f>
        <v>4.2013512195121949E-2</v>
      </c>
    </row>
    <row r="40" spans="2:4" x14ac:dyDescent="0.2">
      <c r="B40" s="61" t="s">
        <v>35</v>
      </c>
      <c r="C40" s="61"/>
      <c r="D40" s="81"/>
    </row>
  </sheetData>
  <sheetProtection password="D824" sheet="1" objects="1" scenarios="1"/>
  <protectedRanges>
    <protectedRange password="9B51" sqref="H8:H11" name="Range2"/>
  </protectedRanges>
  <customSheetViews>
    <customSheetView guid="{60DF9BBC-D692-423C-89AD-8A976478AE41}" scale="90" showGridLines="0" topLeftCell="B19">
      <selection activeCell="B56" sqref="B56"/>
      <pageMargins left="0.7" right="0.7" top="0.75" bottom="0.75" header="0.3" footer="0.3"/>
      <pageSetup paperSize="9" orientation="portrait" r:id="rId1"/>
    </customSheetView>
    <customSheetView guid="{C75A5F74-EB46-4EC1-8574-01D849F3C8D4}" scale="90" showGridLines="0" topLeftCell="B19">
      <selection activeCell="B56" sqref="B56"/>
    </customSheetView>
  </customSheetViews>
  <pageMargins left="0.7" right="0.7" top="0.75" bottom="0.75" header="0.3" footer="0.3"/>
  <pageSetup paperSize="9" orientation="portrait" r:id="rId2"/>
  <ignoredErrors>
    <ignoredError sqref="D28:D37 D12:D14 D10 D7 D6 D26 D16 D18:D25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5</vt:i4>
      </vt:variant>
    </vt:vector>
  </HeadingPairs>
  <TitlesOfParts>
    <vt:vector size="10" baseType="lpstr">
      <vt:lpstr>Dane</vt:lpstr>
      <vt:lpstr>Nakłady inwestycyjne</vt:lpstr>
      <vt:lpstr>Kalkulacja</vt:lpstr>
      <vt:lpstr>Dane referencyjne</vt:lpstr>
      <vt:lpstr>WACC</vt:lpstr>
      <vt:lpstr>Dane!Obszar_wydruku</vt:lpstr>
      <vt:lpstr>'Dane referencyjne'!Obszar_wydruku</vt:lpstr>
      <vt:lpstr>Kalkulacja!Obszar_wydruku</vt:lpstr>
      <vt:lpstr>'Nakłady inwestycyjne'!Obszar_wydruku</vt:lpstr>
      <vt:lpstr>WACC!Obszar_wydruku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2014-10-14T11:07:41Z</dcterms:created>
  <dcterms:modified xsi:type="dcterms:W3CDTF">2018-09-04T19:07:10Z</dcterms:modified>
</cp:coreProperties>
</file>